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DieseArbeitsmappe"/>
  <mc:AlternateContent xmlns:mc="http://schemas.openxmlformats.org/markup-compatibility/2006">
    <mc:Choice Requires="x15">
      <x15ac:absPath xmlns:x15ac="http://schemas.microsoft.com/office/spreadsheetml/2010/11/ac" url="https://mst239701.sharepoint.com/sites/Files/01Daten/03_Zertifizierung/41_Dokumente/423_ECO/06_Tageslichttool/01_Gültig/"/>
    </mc:Choice>
  </mc:AlternateContent>
  <xr:revisionPtr revIDLastSave="30" documentId="13_ncr:1_{BDA76961-8517-4084-8547-A700CB767D0C}" xr6:coauthVersionLast="47" xr6:coauthVersionMax="47" xr10:uidLastSave="{F8BDAC1E-830D-41FA-A168-E2DD981722DF}"/>
  <bookViews>
    <workbookView minimized="1" xWindow="285" yWindow="135" windowWidth="37605" windowHeight="19740" activeTab="4" xr2:uid="{00000000-000D-0000-FFFF-FFFF00000000}"/>
  </bookViews>
  <sheets>
    <sheet name="Überblick" sheetId="12" r:id="rId1"/>
    <sheet name="Fenster" sheetId="29" r:id="rId2"/>
    <sheet name="Tageslicht" sheetId="18" r:id="rId3"/>
    <sheet name="Ausblick" sheetId="32" r:id="rId4"/>
    <sheet name="Fragenkatalog_Modernisierung" sheetId="28" r:id="rId5"/>
    <sheet name="Constants" sheetId="27" state="hidden" r:id="rId6"/>
    <sheet name="Texte" sheetId="31" state="hidden" r:id="rId7"/>
    <sheet name="Versionierung" sheetId="33" state="hidden" r:id="rId8"/>
  </sheets>
  <definedNames>
    <definedName name="_xlnm._FilterDatabase" localSheetId="2" hidden="1">Tageslicht!#REF!</definedName>
    <definedName name="Antwort_simp">Fragenkatalog_Modernisierung!$A$19</definedName>
    <definedName name="Befriedigend">Constants!$C$92</definedName>
    <definedName name="FactorRenovation">Constants!$D$12</definedName>
    <definedName name="Gut">Constants!$C$91</definedName>
    <definedName name="_xlnm.Print_Titles" localSheetId="2">Tageslicht!$1:$4</definedName>
    <definedName name="Ja">Constants!$B$9</definedName>
    <definedName name="JaNein">Constants!$B$9:$B$10</definedName>
    <definedName name="ListAussicht">Constants!$B$40:$B$46</definedName>
    <definedName name="ListAussichtQ">Constants!$B$48:$B$51</definedName>
    <definedName name="ListBeleuchtung">Constants!$B$55:$B$88</definedName>
    <definedName name="ListHorizont">Constants!$B$36:$B$38</definedName>
    <definedName name="ListOrientierung">Constants!$B$91:$B$99</definedName>
    <definedName name="ListProjekttyp">Constants!$B$17:$B$18</definedName>
    <definedName name="ListRaumReflex">Constants!$B$20:$B$22</definedName>
    <definedName name="ListSoControl">Constants!$B$30:$B$34</definedName>
    <definedName name="ListSoSchu">Constants!$B$24:$B$28</definedName>
    <definedName name="ListSprache">Texte!$C$4:$F$4</definedName>
    <definedName name="ListWindow">OFFSET(Fenster!$B$5,,,COUNTIF(Fenster!$B$5:$B$39,"&gt;"""),)</definedName>
    <definedName name="MatrixAussicht">Constants!$B$40:$C$46</definedName>
    <definedName name="MatrixBeleuchtung">Constants!$B$55:$E$88</definedName>
    <definedName name="MatrixHorizont">Constants!$B$36:$C$38</definedName>
    <definedName name="MatrixRaumReflex">Constants!$B$20:$C$22</definedName>
    <definedName name="MatrixSoControl">Constants!$B$30:$C$34</definedName>
    <definedName name="MatrixSoSchu">Constants!$B$24:$C$28</definedName>
    <definedName name="MatrixTexteT1">Texte!$A$5:$B$35</definedName>
    <definedName name="MatrixTexteT2">Texte!$A$39:$B$53</definedName>
    <definedName name="MatrixTexteT3">Texte!$A$57:$B$93</definedName>
    <definedName name="MatrixTexteT4">Texte!$A$125:$B$143</definedName>
    <definedName name="MatrixTexteT5">Texte!$A$97:$B$121</definedName>
    <definedName name="MatrixWindow">Fenster!$B$5:$R$39</definedName>
    <definedName name="MaxUFläche">Constants!$B$97</definedName>
    <definedName name="Mindesterfüllung">Constants!$B$95</definedName>
    <definedName name="MxValidationTexts">Texte!$A$237:$G$360</definedName>
    <definedName name="Nein">Constants!$B$10</definedName>
    <definedName name="NewConstruction">Constants!$B$17</definedName>
    <definedName name="Password">Constants!$B$7</definedName>
    <definedName name="Projektbez">Überblick!$B$5</definedName>
    <definedName name="Raumreflexion">Tageslicht!#REF!</definedName>
    <definedName name="Renovation">Constants!$B$18</definedName>
    <definedName name="SheetDaylight">Texte!$B$230</definedName>
    <definedName name="SheetOverview">Texte!$B$228</definedName>
    <definedName name="SheetQuestionaire">Texte!$B$232</definedName>
    <definedName name="SheetViews">Texte!$B$231</definedName>
    <definedName name="SheetWindow">Texte!$B$229</definedName>
    <definedName name="Sonnenschutztyp">Tageslicht!#REF!</definedName>
    <definedName name="Sprachwahl">Constants!$B$5</definedName>
    <definedName name="Standardnutzung">Tageslicht!#REF!</definedName>
    <definedName name="SummeRaumFlaeche">Tageslicht!$S$38</definedName>
    <definedName name="test01">Texte!$B$230</definedName>
    <definedName name="Typ">Überblick!$B$8</definedName>
    <definedName name="Version">Constants!$B$99</definedName>
    <definedName name="VersionNr">Versionierung!$A$29</definedName>
    <definedName name="_xlnm.Print_Area" localSheetId="3">Ausblick!$A$1:$H$40</definedName>
    <definedName name="_xlnm.Print_Area" localSheetId="1">Fenster!$A$1:$M$39</definedName>
    <definedName name="_xlnm.Print_Area" localSheetId="4">Fragenkatalog_Modernisierung!$A$1:$E$30</definedName>
    <definedName name="_xlnm.Print_Area" localSheetId="2">Tageslicht!$A$1:$R$40</definedName>
    <definedName name="_xlnm.Print_Area" localSheetId="0">Überblick!$A$1:$D$42</definedName>
    <definedName name="_xlnm.Print_Area">Tageslicht!$B$1:$Q$35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 i="18" l="1"/>
  <c r="AI5" i="18"/>
  <c r="AH5" i="18"/>
  <c r="AG5" i="18"/>
  <c r="AF5" i="18"/>
  <c r="AE5" i="18"/>
  <c r="AD5" i="18"/>
  <c r="AC5" i="18"/>
  <c r="AB5" i="18"/>
  <c r="AA5" i="18"/>
  <c r="Z5" i="18"/>
  <c r="Y5" i="18"/>
  <c r="X5" i="18"/>
  <c r="W5" i="18"/>
  <c r="V5" i="18"/>
  <c r="U5" i="18"/>
  <c r="T5" i="18"/>
  <c r="S5" i="18"/>
  <c r="O35" i="29"/>
  <c r="P35" i="29"/>
  <c r="Q35" i="29"/>
  <c r="R35" i="29"/>
  <c r="O36" i="29"/>
  <c r="P36" i="29"/>
  <c r="Q36" i="29"/>
  <c r="R36" i="29"/>
  <c r="O37" i="29"/>
  <c r="P37" i="29"/>
  <c r="Q37" i="29"/>
  <c r="R37" i="29"/>
  <c r="O38" i="29"/>
  <c r="P38" i="29"/>
  <c r="Q38" i="29"/>
  <c r="R38" i="29"/>
  <c r="O39" i="29"/>
  <c r="P39" i="29"/>
  <c r="Q39" i="29"/>
  <c r="R39" i="29"/>
  <c r="E85" i="27"/>
  <c r="E80" i="27"/>
  <c r="B177" i="31"/>
  <c r="B85" i="27" s="1"/>
  <c r="B172" i="31"/>
  <c r="B80" i="27" s="1"/>
  <c r="W6" i="18"/>
  <c r="I6" i="32" s="1"/>
  <c r="J6" i="32" s="1"/>
  <c r="W7" i="18"/>
  <c r="I7" i="32" s="1"/>
  <c r="J7" i="32" s="1"/>
  <c r="W8" i="18"/>
  <c r="I8" i="32" s="1"/>
  <c r="J8" i="32" s="1"/>
  <c r="W9" i="18"/>
  <c r="I9" i="32" s="1"/>
  <c r="J9" i="32" s="1"/>
  <c r="W10" i="18"/>
  <c r="I10" i="32" s="1"/>
  <c r="J10" i="32" s="1"/>
  <c r="W11" i="18"/>
  <c r="I11" i="32" s="1"/>
  <c r="J11" i="32" s="1"/>
  <c r="W12" i="18"/>
  <c r="I12" i="32" s="1"/>
  <c r="J12" i="32" s="1"/>
  <c r="W13" i="18"/>
  <c r="I13" i="32" s="1"/>
  <c r="J13" i="32" s="1"/>
  <c r="W14" i="18"/>
  <c r="I14" i="32" s="1"/>
  <c r="J14" i="32" s="1"/>
  <c r="W15" i="18"/>
  <c r="I15" i="32" s="1"/>
  <c r="J15" i="32" s="1"/>
  <c r="W16" i="18"/>
  <c r="I16" i="32" s="1"/>
  <c r="J16" i="32" s="1"/>
  <c r="W17" i="18"/>
  <c r="I17" i="32" s="1"/>
  <c r="J17" i="32" s="1"/>
  <c r="W18" i="18"/>
  <c r="I18" i="32" s="1"/>
  <c r="J18" i="32" s="1"/>
  <c r="W19" i="18"/>
  <c r="I19" i="32" s="1"/>
  <c r="J19" i="32" s="1"/>
  <c r="W20" i="18"/>
  <c r="I20" i="32" s="1"/>
  <c r="J20" i="32" s="1"/>
  <c r="W21" i="18"/>
  <c r="I21" i="32" s="1"/>
  <c r="J21" i="32" s="1"/>
  <c r="W22" i="18"/>
  <c r="I22" i="32" s="1"/>
  <c r="J22" i="32" s="1"/>
  <c r="W23" i="18"/>
  <c r="I23" i="32" s="1"/>
  <c r="J23" i="32" s="1"/>
  <c r="W24" i="18"/>
  <c r="I24" i="32" s="1"/>
  <c r="J24" i="32" s="1"/>
  <c r="W25" i="18"/>
  <c r="I25" i="32" s="1"/>
  <c r="J25" i="32" s="1"/>
  <c r="W26" i="18"/>
  <c r="I26" i="32" s="1"/>
  <c r="J26" i="32" s="1"/>
  <c r="W27" i="18"/>
  <c r="I27" i="32" s="1"/>
  <c r="J27" i="32" s="1"/>
  <c r="W28" i="18"/>
  <c r="I28" i="32" s="1"/>
  <c r="J28" i="32" s="1"/>
  <c r="W29" i="18"/>
  <c r="I29" i="32" s="1"/>
  <c r="J29" i="32" s="1"/>
  <c r="W30" i="18"/>
  <c r="I30" i="32" s="1"/>
  <c r="J30" i="32" s="1"/>
  <c r="W31" i="18"/>
  <c r="I31" i="32" s="1"/>
  <c r="J31" i="32" s="1"/>
  <c r="W32" i="18"/>
  <c r="I32" i="32" s="1"/>
  <c r="J32" i="32" s="1"/>
  <c r="W33" i="18"/>
  <c r="W34" i="18"/>
  <c r="I34" i="32" s="1"/>
  <c r="J34" i="32" s="1"/>
  <c r="I5" i="32"/>
  <c r="J5" i="32" s="1"/>
  <c r="B6" i="31"/>
  <c r="D1" i="12" s="1"/>
  <c r="A29" i="33"/>
  <c r="B99" i="27" s="1"/>
  <c r="B20" i="31"/>
  <c r="A36" i="12" s="1"/>
  <c r="B21" i="31"/>
  <c r="A38" i="12" s="1"/>
  <c r="B22" i="31"/>
  <c r="A39" i="12" s="1"/>
  <c r="B23" i="31"/>
  <c r="A42" i="12" s="1"/>
  <c r="B231" i="31"/>
  <c r="C31" i="31" s="1"/>
  <c r="C349" i="31"/>
  <c r="C350" i="31"/>
  <c r="C351" i="31"/>
  <c r="C352" i="31"/>
  <c r="C353" i="31"/>
  <c r="C354" i="31"/>
  <c r="C355" i="31"/>
  <c r="C356" i="31"/>
  <c r="C357" i="31"/>
  <c r="C358" i="31"/>
  <c r="C359" i="31"/>
  <c r="C360" i="31"/>
  <c r="B107" i="31"/>
  <c r="H4" i="32" s="1"/>
  <c r="B108" i="31"/>
  <c r="B36" i="32" s="1"/>
  <c r="B118" i="31"/>
  <c r="H37" i="32" s="1"/>
  <c r="B117" i="31"/>
  <c r="F37" i="32" s="1"/>
  <c r="B116" i="31"/>
  <c r="G37" i="32" s="1"/>
  <c r="B115" i="31"/>
  <c r="E37" i="32" s="1"/>
  <c r="B114" i="31"/>
  <c r="D37" i="32" s="1"/>
  <c r="B113" i="31"/>
  <c r="C37" i="32" s="1"/>
  <c r="B112" i="31"/>
  <c r="B37" i="32" s="1"/>
  <c r="B111" i="31"/>
  <c r="G36" i="32" s="1"/>
  <c r="B110" i="31"/>
  <c r="E36" i="32" s="1"/>
  <c r="B109" i="31"/>
  <c r="C36" i="32" s="1"/>
  <c r="B119" i="31"/>
  <c r="B38" i="32" s="1"/>
  <c r="A41" i="12" s="1"/>
  <c r="B120" i="31"/>
  <c r="B121" i="31"/>
  <c r="B40" i="32" s="1"/>
  <c r="B213" i="31"/>
  <c r="B51" i="27" s="1"/>
  <c r="B212" i="31"/>
  <c r="B50" i="27" s="1"/>
  <c r="B211" i="31"/>
  <c r="B49" i="27" s="1"/>
  <c r="B210" i="31"/>
  <c r="B48" i="27" s="1"/>
  <c r="B99" i="31"/>
  <c r="C3" i="32" s="1"/>
  <c r="B103" i="31"/>
  <c r="C4" i="32" s="1"/>
  <c r="B104" i="31"/>
  <c r="D4" i="32" s="1"/>
  <c r="B105" i="31"/>
  <c r="E4" i="32" s="1"/>
  <c r="B102" i="31"/>
  <c r="B4" i="32" s="1"/>
  <c r="B101" i="31"/>
  <c r="B100" i="31"/>
  <c r="B98" i="31"/>
  <c r="B3" i="32" s="1"/>
  <c r="B97" i="31"/>
  <c r="A1" i="32" s="1"/>
  <c r="B207" i="31"/>
  <c r="B45" i="27" s="1"/>
  <c r="B208" i="31"/>
  <c r="B46" i="27" s="1"/>
  <c r="B206" i="31"/>
  <c r="B44" i="27" s="1"/>
  <c r="B205" i="31"/>
  <c r="B43" i="27" s="1"/>
  <c r="B204" i="31"/>
  <c r="B42" i="27" s="1"/>
  <c r="B203" i="31"/>
  <c r="B41" i="27" s="1"/>
  <c r="B202" i="31"/>
  <c r="B40" i="27" s="1"/>
  <c r="F96" i="31"/>
  <c r="E96" i="31"/>
  <c r="D96" i="31"/>
  <c r="C96" i="31"/>
  <c r="B6" i="3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5" i="32"/>
  <c r="I33" i="32"/>
  <c r="J33" i="32" s="1"/>
  <c r="F31" i="31" l="1"/>
  <c r="E31" i="31"/>
  <c r="D31" i="31"/>
  <c r="B31" i="31" s="1"/>
  <c r="A51" i="12" s="1"/>
  <c r="L5" i="32"/>
  <c r="L23" i="32"/>
  <c r="H23" i="32" s="1"/>
  <c r="L15" i="32"/>
  <c r="H15" i="32" s="1"/>
  <c r="L29" i="32"/>
  <c r="H29" i="32" s="1"/>
  <c r="L21" i="32"/>
  <c r="H21" i="32" s="1"/>
  <c r="L31" i="32"/>
  <c r="H31" i="32" s="1"/>
  <c r="L27" i="32"/>
  <c r="H27" i="32" s="1"/>
  <c r="L19" i="32"/>
  <c r="H19" i="32" s="1"/>
  <c r="L11" i="32"/>
  <c r="H11" i="32" s="1"/>
  <c r="L33" i="32"/>
  <c r="H33" i="32" s="1"/>
  <c r="L25" i="32"/>
  <c r="H25" i="32" s="1"/>
  <c r="L17" i="32"/>
  <c r="H17" i="32" s="1"/>
  <c r="L13" i="32"/>
  <c r="H13" i="32" s="1"/>
  <c r="L9" i="32"/>
  <c r="H9" i="32" s="1"/>
  <c r="L32" i="32"/>
  <c r="H32" i="32" s="1"/>
  <c r="L28" i="32"/>
  <c r="H28" i="32" s="1"/>
  <c r="L24" i="32"/>
  <c r="H24" i="32" s="1"/>
  <c r="L20" i="32"/>
  <c r="H20" i="32" s="1"/>
  <c r="L16" i="32"/>
  <c r="H16" i="32" s="1"/>
  <c r="L12" i="32"/>
  <c r="H12" i="32" s="1"/>
  <c r="L8" i="32"/>
  <c r="H8" i="32" s="1"/>
  <c r="L7" i="32"/>
  <c r="H7" i="32" s="1"/>
  <c r="L34" i="32"/>
  <c r="H34" i="32" s="1"/>
  <c r="L30" i="32"/>
  <c r="H30" i="32" s="1"/>
  <c r="L26" i="32"/>
  <c r="H26" i="32" s="1"/>
  <c r="L22" i="32"/>
  <c r="H22" i="32" s="1"/>
  <c r="L18" i="32"/>
  <c r="H18" i="32" s="1"/>
  <c r="L14" i="32"/>
  <c r="H14" i="32" s="1"/>
  <c r="L10" i="32"/>
  <c r="H10" i="32" s="1"/>
  <c r="L6" i="32"/>
  <c r="H6" i="32" s="1"/>
  <c r="B79" i="31"/>
  <c r="R4" i="18" s="1"/>
  <c r="B59" i="31"/>
  <c r="R3" i="18" s="1"/>
  <c r="G3" i="32" s="1"/>
  <c r="K5" i="32"/>
  <c r="C269" i="31"/>
  <c r="C270" i="31"/>
  <c r="C271" i="31"/>
  <c r="C272" i="31"/>
  <c r="C273" i="31"/>
  <c r="C274" i="31"/>
  <c r="C275" i="31"/>
  <c r="C276" i="31"/>
  <c r="C277" i="31"/>
  <c r="C278" i="31"/>
  <c r="C279" i="31"/>
  <c r="C280" i="31"/>
  <c r="C281" i="31"/>
  <c r="C282" i="31"/>
  <c r="C283" i="31"/>
  <c r="C268"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348" i="31"/>
  <c r="C347" i="31"/>
  <c r="C346" i="31"/>
  <c r="C345" i="31"/>
  <c r="C340" i="31"/>
  <c r="C339" i="31"/>
  <c r="C338" i="31"/>
  <c r="C337" i="31"/>
  <c r="C332" i="31"/>
  <c r="C331" i="31"/>
  <c r="C330" i="31"/>
  <c r="C329" i="31"/>
  <c r="C321" i="31"/>
  <c r="C322" i="31"/>
  <c r="C323" i="31"/>
  <c r="C324" i="31"/>
  <c r="C344" i="31"/>
  <c r="C343" i="31"/>
  <c r="C336" i="31"/>
  <c r="C335" i="31"/>
  <c r="C328" i="31"/>
  <c r="C327" i="31"/>
  <c r="C320" i="31"/>
  <c r="C319" i="31"/>
  <c r="C316" i="31"/>
  <c r="C315" i="31"/>
  <c r="C312" i="31"/>
  <c r="C311" i="31"/>
  <c r="C308" i="31"/>
  <c r="C307" i="31"/>
  <c r="C304" i="31"/>
  <c r="C303" i="31"/>
  <c r="C300" i="31"/>
  <c r="C299" i="31"/>
  <c r="C296" i="31"/>
  <c r="C295" i="31"/>
  <c r="C292" i="31"/>
  <c r="C291" i="31"/>
  <c r="C287" i="31"/>
  <c r="C288" i="31"/>
  <c r="D342" i="31"/>
  <c r="C342" i="31" s="1"/>
  <c r="D334" i="31"/>
  <c r="C334" i="31" s="1"/>
  <c r="D326" i="31"/>
  <c r="C326" i="31" s="1"/>
  <c r="C325" i="31"/>
  <c r="C333" i="31"/>
  <c r="C341" i="31"/>
  <c r="C238" i="31"/>
  <c r="C239" i="31"/>
  <c r="C267" i="31"/>
  <c r="C284" i="31"/>
  <c r="C285" i="31"/>
  <c r="C286" i="31"/>
  <c r="C289" i="31"/>
  <c r="C290" i="31"/>
  <c r="C293" i="31"/>
  <c r="C294" i="31"/>
  <c r="C297" i="31"/>
  <c r="C298" i="31"/>
  <c r="C301" i="31"/>
  <c r="C302" i="31"/>
  <c r="C305" i="31"/>
  <c r="C306" i="31"/>
  <c r="C309" i="31"/>
  <c r="C310" i="31"/>
  <c r="C313" i="31"/>
  <c r="C314" i="31"/>
  <c r="C317" i="31"/>
  <c r="C237" i="31"/>
  <c r="D318" i="31"/>
  <c r="C318" i="31" s="1"/>
  <c r="S24" i="18"/>
  <c r="T24" i="18"/>
  <c r="U24" i="18" s="1"/>
  <c r="Y24" i="18"/>
  <c r="AG24" i="18" s="1"/>
  <c r="Z24" i="18"/>
  <c r="AH24" i="18"/>
  <c r="S25" i="18"/>
  <c r="K25" i="32" s="1"/>
  <c r="T25" i="18"/>
  <c r="U25" i="18" s="1"/>
  <c r="Y25" i="18"/>
  <c r="AG25" i="18" s="1"/>
  <c r="Z25" i="18"/>
  <c r="AH25" i="18"/>
  <c r="S26" i="18"/>
  <c r="K26" i="32" s="1"/>
  <c r="T26" i="18"/>
  <c r="U26" i="18" s="1"/>
  <c r="X26" i="18"/>
  <c r="Y26" i="18"/>
  <c r="AG26" i="18" s="1"/>
  <c r="Z26" i="18"/>
  <c r="AH26" i="18"/>
  <c r="S27" i="18"/>
  <c r="T27" i="18"/>
  <c r="U27" i="18" s="1"/>
  <c r="Y27" i="18"/>
  <c r="AG27" i="18" s="1"/>
  <c r="Z27" i="18"/>
  <c r="AH27" i="18"/>
  <c r="S28" i="18"/>
  <c r="T28" i="18"/>
  <c r="U28" i="18" s="1"/>
  <c r="Y28" i="18"/>
  <c r="AG28" i="18" s="1"/>
  <c r="Z28" i="18"/>
  <c r="AH28" i="18"/>
  <c r="S29" i="18"/>
  <c r="T29" i="18"/>
  <c r="U29" i="18" s="1"/>
  <c r="Y29" i="18"/>
  <c r="AG29" i="18" s="1"/>
  <c r="Z29" i="18"/>
  <c r="AH29" i="18"/>
  <c r="S30" i="18"/>
  <c r="K30" i="32" s="1"/>
  <c r="T30" i="18"/>
  <c r="U30" i="18" s="1"/>
  <c r="Y30" i="18"/>
  <c r="AG30" i="18" s="1"/>
  <c r="Z30" i="18"/>
  <c r="AH30" i="18"/>
  <c r="S31" i="18"/>
  <c r="K31" i="32" s="1"/>
  <c r="T31" i="18"/>
  <c r="U31" i="18" s="1"/>
  <c r="Y31" i="18"/>
  <c r="AG31" i="18" s="1"/>
  <c r="Z31" i="18"/>
  <c r="AH31" i="18"/>
  <c r="S32" i="18"/>
  <c r="T32" i="18"/>
  <c r="U32" i="18" s="1"/>
  <c r="Y32" i="18"/>
  <c r="AG32" i="18" s="1"/>
  <c r="Z32" i="18"/>
  <c r="AH32" i="18"/>
  <c r="S33" i="18"/>
  <c r="T33" i="18"/>
  <c r="U33" i="18" s="1"/>
  <c r="Y33" i="18"/>
  <c r="AG33" i="18" s="1"/>
  <c r="Z33" i="18"/>
  <c r="AH33" i="18"/>
  <c r="S34" i="18"/>
  <c r="K34" i="32" s="1"/>
  <c r="T34" i="18"/>
  <c r="U34" i="18" s="1"/>
  <c r="Y34" i="18"/>
  <c r="AG34" i="18" s="1"/>
  <c r="Z34" i="18"/>
  <c r="AH34" i="18"/>
  <c r="B83" i="31"/>
  <c r="N36" i="18" s="1"/>
  <c r="B84" i="31"/>
  <c r="B82" i="31"/>
  <c r="J36" i="18" s="1"/>
  <c r="B88" i="31"/>
  <c r="J37" i="18" s="1"/>
  <c r="B89" i="31"/>
  <c r="L37" i="18" s="1"/>
  <c r="B87" i="31"/>
  <c r="N37" i="18" s="1"/>
  <c r="B90" i="31"/>
  <c r="P37" i="18" s="1"/>
  <c r="B85" i="31"/>
  <c r="F37" i="18" s="1"/>
  <c r="B86" i="31"/>
  <c r="H37" i="18" s="1"/>
  <c r="B81" i="31"/>
  <c r="F36" i="18" s="1"/>
  <c r="F38" i="31"/>
  <c r="E38" i="31"/>
  <c r="D38" i="31"/>
  <c r="C38" i="31"/>
  <c r="F56" i="31"/>
  <c r="E56" i="31"/>
  <c r="D56" i="31"/>
  <c r="C56" i="31"/>
  <c r="F124" i="31"/>
  <c r="E124" i="31"/>
  <c r="D124" i="31"/>
  <c r="C124" i="31"/>
  <c r="G236" i="31"/>
  <c r="F236" i="31"/>
  <c r="E236" i="31"/>
  <c r="D236" i="31"/>
  <c r="F146" i="31"/>
  <c r="E146" i="31"/>
  <c r="D146" i="31"/>
  <c r="C146" i="31"/>
  <c r="B232" i="31"/>
  <c r="E27" i="31" s="1"/>
  <c r="B230" i="31"/>
  <c r="B229" i="31"/>
  <c r="B228" i="31"/>
  <c r="B26" i="31"/>
  <c r="A46" i="12" s="1"/>
  <c r="B226" i="31"/>
  <c r="B10" i="27" s="1"/>
  <c r="B225" i="31"/>
  <c r="B9" i="27" s="1"/>
  <c r="B220" i="31"/>
  <c r="B18" i="27" s="1"/>
  <c r="B219" i="31"/>
  <c r="B17" i="27" s="1"/>
  <c r="B143" i="31"/>
  <c r="D29" i="28" s="1"/>
  <c r="B142" i="31"/>
  <c r="D27" i="28" s="1"/>
  <c r="B141" i="31"/>
  <c r="D25" i="28" s="1"/>
  <c r="B140" i="31"/>
  <c r="C23" i="28" s="1"/>
  <c r="B139" i="31"/>
  <c r="B23" i="28" s="1"/>
  <c r="B138" i="31"/>
  <c r="A23" i="28" s="1"/>
  <c r="B137" i="31"/>
  <c r="A21" i="28" s="1"/>
  <c r="B136" i="31"/>
  <c r="B135" i="31"/>
  <c r="B134" i="31"/>
  <c r="B133" i="31"/>
  <c r="A17" i="28" s="1"/>
  <c r="B132" i="31"/>
  <c r="A13" i="28" s="1"/>
  <c r="B131" i="31"/>
  <c r="A11" i="28" s="1"/>
  <c r="B130" i="31"/>
  <c r="A9" i="28" s="1"/>
  <c r="B129" i="31"/>
  <c r="A7" i="28" s="1"/>
  <c r="B128" i="31"/>
  <c r="A5" i="28" s="1"/>
  <c r="B127" i="31"/>
  <c r="E3" i="28" s="1"/>
  <c r="B126" i="31"/>
  <c r="A3" i="28" s="1"/>
  <c r="B125" i="31"/>
  <c r="A1" i="28" s="1"/>
  <c r="B217" i="31"/>
  <c r="E93" i="27" s="1"/>
  <c r="B216" i="31"/>
  <c r="E92" i="27" s="1"/>
  <c r="B215" i="31"/>
  <c r="E91" i="27" s="1"/>
  <c r="B200" i="31"/>
  <c r="B38" i="27" s="1"/>
  <c r="B199" i="31"/>
  <c r="B37" i="27" s="1"/>
  <c r="B198" i="31"/>
  <c r="B36" i="27" s="1"/>
  <c r="B196" i="31"/>
  <c r="B34" i="27" s="1"/>
  <c r="B195" i="31"/>
  <c r="B33" i="27" s="1"/>
  <c r="B194" i="31"/>
  <c r="B32" i="27" s="1"/>
  <c r="B193" i="31"/>
  <c r="B31" i="27" s="1"/>
  <c r="B192" i="31"/>
  <c r="B30" i="27" s="1"/>
  <c r="B190" i="31"/>
  <c r="B28" i="27" s="1"/>
  <c r="B189" i="31"/>
  <c r="B27" i="27" s="1"/>
  <c r="B188" i="31"/>
  <c r="B26" i="27" s="1"/>
  <c r="B187" i="31"/>
  <c r="B25" i="27" s="1"/>
  <c r="B186" i="31"/>
  <c r="B24" i="27" s="1"/>
  <c r="B184" i="31"/>
  <c r="B22" i="27" s="1"/>
  <c r="B183" i="31"/>
  <c r="B21" i="27" s="1"/>
  <c r="B182" i="31"/>
  <c r="B20" i="27" s="1"/>
  <c r="B164" i="31"/>
  <c r="B72" i="27" s="1"/>
  <c r="B165" i="31"/>
  <c r="B73" i="27" s="1"/>
  <c r="B166" i="31"/>
  <c r="B74" i="27" s="1"/>
  <c r="B167" i="31"/>
  <c r="B75" i="27" s="1"/>
  <c r="B168" i="31"/>
  <c r="B76" i="27" s="1"/>
  <c r="B169" i="31"/>
  <c r="B77" i="27" s="1"/>
  <c r="B170" i="31"/>
  <c r="B78" i="27" s="1"/>
  <c r="B171" i="31"/>
  <c r="B79" i="27" s="1"/>
  <c r="B173" i="31"/>
  <c r="B81" i="27" s="1"/>
  <c r="B174" i="31"/>
  <c r="B82" i="27" s="1"/>
  <c r="B175" i="31"/>
  <c r="B83" i="27" s="1"/>
  <c r="B176" i="31"/>
  <c r="B84" i="27" s="1"/>
  <c r="B178" i="31"/>
  <c r="B86" i="27" s="1"/>
  <c r="B179" i="31"/>
  <c r="B87" i="27" s="1"/>
  <c r="B180" i="31"/>
  <c r="B88" i="27" s="1"/>
  <c r="B163" i="31"/>
  <c r="B71" i="27" s="1"/>
  <c r="B162" i="31"/>
  <c r="B70" i="27" s="1"/>
  <c r="B161" i="31"/>
  <c r="B69" i="27" s="1"/>
  <c r="B160" i="31"/>
  <c r="B68" i="27" s="1"/>
  <c r="B159" i="31"/>
  <c r="B67" i="27" s="1"/>
  <c r="B158" i="31"/>
  <c r="B66" i="27" s="1"/>
  <c r="B157" i="31"/>
  <c r="B65" i="27" s="1"/>
  <c r="B156" i="31"/>
  <c r="B64" i="27" s="1"/>
  <c r="B155" i="31"/>
  <c r="B63" i="27" s="1"/>
  <c r="B154" i="31"/>
  <c r="B62" i="27" s="1"/>
  <c r="B153" i="31"/>
  <c r="B61" i="27" s="1"/>
  <c r="B152" i="31"/>
  <c r="B60" i="27" s="1"/>
  <c r="B151" i="31"/>
  <c r="B59" i="27" s="1"/>
  <c r="B150" i="31"/>
  <c r="B58" i="27" s="1"/>
  <c r="B149" i="31"/>
  <c r="B57" i="27" s="1"/>
  <c r="B148" i="31"/>
  <c r="B56" i="27" s="1"/>
  <c r="B147" i="31"/>
  <c r="B55" i="27" s="1"/>
  <c r="B92" i="31"/>
  <c r="B93" i="31"/>
  <c r="B69" i="31"/>
  <c r="I4" i="18" s="1"/>
  <c r="B70" i="31"/>
  <c r="J3" i="18" s="1"/>
  <c r="B71" i="31"/>
  <c r="J4" i="18" s="1"/>
  <c r="B72" i="31"/>
  <c r="K4" i="18" s="1"/>
  <c r="B73" i="31"/>
  <c r="L4" i="18" s="1"/>
  <c r="B74" i="31"/>
  <c r="M4" i="18" s="1"/>
  <c r="B75" i="31"/>
  <c r="N4" i="18" s="1"/>
  <c r="B76" i="31"/>
  <c r="O4" i="18" s="1"/>
  <c r="B77" i="31"/>
  <c r="P4" i="18" s="1"/>
  <c r="B78" i="31"/>
  <c r="Q4" i="18" s="1"/>
  <c r="B80" i="31"/>
  <c r="B91" i="31"/>
  <c r="B58" i="31"/>
  <c r="B60" i="31"/>
  <c r="B61" i="31"/>
  <c r="B62" i="31"/>
  <c r="C4" i="18" s="1"/>
  <c r="B63" i="31"/>
  <c r="D3" i="18" s="1"/>
  <c r="B64" i="31"/>
  <c r="D4" i="18" s="1"/>
  <c r="B65" i="31"/>
  <c r="E4" i="18" s="1"/>
  <c r="B66" i="31"/>
  <c r="F4" i="18" s="1"/>
  <c r="B67" i="31"/>
  <c r="G4" i="18" s="1"/>
  <c r="B68" i="31"/>
  <c r="H4" i="18" s="1"/>
  <c r="B57" i="31"/>
  <c r="A1" i="18" s="1"/>
  <c r="B39" i="31"/>
  <c r="A1" i="29" s="1"/>
  <c r="B41" i="31"/>
  <c r="B4" i="29" s="1"/>
  <c r="B42" i="31"/>
  <c r="C4" i="29" s="1"/>
  <c r="B43" i="31"/>
  <c r="D4" i="29" s="1"/>
  <c r="B44" i="31"/>
  <c r="E4" i="29" s="1"/>
  <c r="B45" i="31"/>
  <c r="F4" i="29" s="1"/>
  <c r="B46" i="31"/>
  <c r="G4" i="29" s="1"/>
  <c r="B47" i="31"/>
  <c r="H4" i="29" s="1"/>
  <c r="B48" i="31"/>
  <c r="I4" i="29" s="1"/>
  <c r="B49" i="31"/>
  <c r="J4" i="29" s="1"/>
  <c r="B50" i="31"/>
  <c r="K3" i="29" s="1"/>
  <c r="B51" i="31"/>
  <c r="K4" i="29" s="1"/>
  <c r="B52" i="31"/>
  <c r="L4" i="29" s="1"/>
  <c r="B53" i="31"/>
  <c r="M4" i="29" s="1"/>
  <c r="B40" i="31"/>
  <c r="B3" i="29" s="1"/>
  <c r="B7" i="31"/>
  <c r="A3" i="12" s="1"/>
  <c r="B8" i="31"/>
  <c r="A5" i="12" s="1"/>
  <c r="B9" i="31"/>
  <c r="A8" i="12" s="1"/>
  <c r="F10" i="31"/>
  <c r="B10" i="31"/>
  <c r="A11" i="12" s="1"/>
  <c r="B11" i="31"/>
  <c r="A14" i="12" s="1"/>
  <c r="B12" i="31"/>
  <c r="A17" i="12" s="1"/>
  <c r="B13" i="31"/>
  <c r="A20" i="12" s="1"/>
  <c r="B14" i="31"/>
  <c r="A23" i="12" s="1"/>
  <c r="B15" i="31"/>
  <c r="A26" i="12" s="1"/>
  <c r="B16" i="31"/>
  <c r="A28" i="12" s="1"/>
  <c r="B17" i="31"/>
  <c r="A30" i="12" s="1"/>
  <c r="B18" i="31"/>
  <c r="A31" i="12" s="1"/>
  <c r="B19" i="31"/>
  <c r="A34" i="12" s="1"/>
  <c r="B24" i="31"/>
  <c r="A44" i="12" s="1"/>
  <c r="B25" i="31"/>
  <c r="D44" i="12" s="1"/>
  <c r="B5" i="31"/>
  <c r="A1" i="12" s="1"/>
  <c r="B32" i="31"/>
  <c r="A52" i="12" s="1"/>
  <c r="B35" i="31"/>
  <c r="A55" i="12" s="1"/>
  <c r="B97" i="27"/>
  <c r="B39" i="32" s="1"/>
  <c r="A40" i="12" s="1"/>
  <c r="B95" i="27"/>
  <c r="S6" i="18"/>
  <c r="K6" i="32" s="1"/>
  <c r="S7" i="18"/>
  <c r="K7" i="32" s="1"/>
  <c r="S8" i="18"/>
  <c r="K8" i="32" s="1"/>
  <c r="S9" i="18"/>
  <c r="K9" i="32" s="1"/>
  <c r="S10" i="18"/>
  <c r="S11" i="18"/>
  <c r="K11" i="32" s="1"/>
  <c r="S12" i="18"/>
  <c r="S13" i="18"/>
  <c r="K13" i="32" s="1"/>
  <c r="S14" i="18"/>
  <c r="S15" i="18"/>
  <c r="K15" i="32" s="1"/>
  <c r="X15" i="18"/>
  <c r="S16" i="18"/>
  <c r="S17" i="18"/>
  <c r="K17" i="32" s="1"/>
  <c r="S18" i="18"/>
  <c r="S19" i="18"/>
  <c r="K19" i="32" s="1"/>
  <c r="S20" i="18"/>
  <c r="S21" i="18"/>
  <c r="K21" i="32" s="1"/>
  <c r="X21" i="18"/>
  <c r="S22" i="18"/>
  <c r="S23" i="18"/>
  <c r="AH8" i="18"/>
  <c r="AH9" i="18"/>
  <c r="AH10" i="18"/>
  <c r="AH11" i="18"/>
  <c r="AH12" i="18"/>
  <c r="AH13" i="18"/>
  <c r="AH14" i="18"/>
  <c r="AH15" i="18"/>
  <c r="AH16" i="18"/>
  <c r="AH17" i="18"/>
  <c r="AH18" i="18"/>
  <c r="AH19" i="18"/>
  <c r="AH20" i="18"/>
  <c r="AH21" i="18"/>
  <c r="AH22" i="18"/>
  <c r="AH23" i="18"/>
  <c r="Y8" i="18"/>
  <c r="AG8" i="18" s="1"/>
  <c r="AI8" i="18" s="1"/>
  <c r="AJ8" i="18" s="1"/>
  <c r="R8" i="18" s="1"/>
  <c r="Z8" i="18"/>
  <c r="Y9" i="18"/>
  <c r="AG9" i="18" s="1"/>
  <c r="Z9" i="18"/>
  <c r="Y10" i="18"/>
  <c r="AG10" i="18" s="1"/>
  <c r="Z10" i="18"/>
  <c r="Y11" i="18"/>
  <c r="AG11" i="18" s="1"/>
  <c r="Z11" i="18"/>
  <c r="Y12" i="18"/>
  <c r="AG12" i="18" s="1"/>
  <c r="Z12" i="18"/>
  <c r="Y13" i="18"/>
  <c r="AG13" i="18" s="1"/>
  <c r="Z13" i="18"/>
  <c r="Y14" i="18"/>
  <c r="AG14" i="18" s="1"/>
  <c r="Z14" i="18"/>
  <c r="Y15" i="18"/>
  <c r="AG15" i="18" s="1"/>
  <c r="Z15" i="18"/>
  <c r="Y16" i="18"/>
  <c r="AG16" i="18" s="1"/>
  <c r="Z16" i="18"/>
  <c r="Y17" i="18"/>
  <c r="AG17" i="18" s="1"/>
  <c r="Z17" i="18"/>
  <c r="Y18" i="18"/>
  <c r="AG18" i="18" s="1"/>
  <c r="Z18" i="18"/>
  <c r="Y19" i="18"/>
  <c r="AG19" i="18" s="1"/>
  <c r="Z19" i="18"/>
  <c r="Y20" i="18"/>
  <c r="AG20" i="18" s="1"/>
  <c r="Z20" i="18"/>
  <c r="Y21" i="18"/>
  <c r="AG21" i="18" s="1"/>
  <c r="Z21" i="18"/>
  <c r="Y22" i="18"/>
  <c r="AG22" i="18" s="1"/>
  <c r="Z22" i="18"/>
  <c r="Y23" i="18"/>
  <c r="AG23" i="18" s="1"/>
  <c r="Z23" i="18"/>
  <c r="T8" i="18"/>
  <c r="AA8" i="18" s="1"/>
  <c r="T9" i="18"/>
  <c r="U9" i="18" s="1"/>
  <c r="T10" i="18"/>
  <c r="V10" i="18" s="1"/>
  <c r="AD10" i="18" s="1"/>
  <c r="T11" i="18"/>
  <c r="V11" i="18" s="1"/>
  <c r="AD11" i="18" s="1"/>
  <c r="T12" i="18"/>
  <c r="AA12" i="18" s="1"/>
  <c r="T13" i="18"/>
  <c r="AB13" i="18" s="1"/>
  <c r="T14" i="18"/>
  <c r="U14" i="18" s="1"/>
  <c r="T15" i="18"/>
  <c r="AB15" i="18" s="1"/>
  <c r="T16" i="18"/>
  <c r="AB16" i="18" s="1"/>
  <c r="T17" i="18"/>
  <c r="AA17" i="18" s="1"/>
  <c r="T18" i="18"/>
  <c r="AE18" i="18" s="1"/>
  <c r="T19" i="18"/>
  <c r="AC19" i="18" s="1"/>
  <c r="T20" i="18"/>
  <c r="AA20" i="18" s="1"/>
  <c r="T21" i="18"/>
  <c r="AB21" i="18" s="1"/>
  <c r="T22" i="18"/>
  <c r="AB22" i="18" s="1"/>
  <c r="T23" i="18"/>
  <c r="V23" i="18" s="1"/>
  <c r="AD23" i="18" s="1"/>
  <c r="Q8" i="29"/>
  <c r="Q9"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P8" i="29"/>
  <c r="P9" i="29"/>
  <c r="P10" i="29"/>
  <c r="P11" i="29"/>
  <c r="P12" i="29"/>
  <c r="P13" i="29"/>
  <c r="P14" i="29"/>
  <c r="P15" i="29"/>
  <c r="P16" i="29"/>
  <c r="P17" i="29"/>
  <c r="P18" i="29"/>
  <c r="P19" i="29"/>
  <c r="P20" i="29"/>
  <c r="P21" i="29"/>
  <c r="P22" i="29"/>
  <c r="P23" i="29"/>
  <c r="P24" i="29"/>
  <c r="P25" i="29"/>
  <c r="P26" i="29"/>
  <c r="P27" i="29"/>
  <c r="P28" i="29"/>
  <c r="P29" i="29"/>
  <c r="P30" i="29"/>
  <c r="P31" i="29"/>
  <c r="P32" i="29"/>
  <c r="P33" i="29"/>
  <c r="P34" i="29"/>
  <c r="O8" i="29"/>
  <c r="O9" i="29"/>
  <c r="O10" i="29"/>
  <c r="O11" i="29"/>
  <c r="O12" i="29"/>
  <c r="O13" i="29"/>
  <c r="O14" i="29"/>
  <c r="O15" i="29"/>
  <c r="O16" i="29"/>
  <c r="O17" i="29"/>
  <c r="O18" i="29"/>
  <c r="O19" i="29"/>
  <c r="O20" i="29"/>
  <c r="O21" i="29"/>
  <c r="O22" i="29"/>
  <c r="O23" i="29"/>
  <c r="O24" i="29"/>
  <c r="O25" i="29"/>
  <c r="O26" i="29"/>
  <c r="O27" i="29"/>
  <c r="O28" i="29"/>
  <c r="O29" i="29"/>
  <c r="O30" i="29"/>
  <c r="O31" i="29"/>
  <c r="O32" i="29"/>
  <c r="O33" i="29"/>
  <c r="O34" i="29"/>
  <c r="D93" i="27"/>
  <c r="D92" i="27"/>
  <c r="R6" i="29"/>
  <c r="R7" i="29"/>
  <c r="R8" i="29"/>
  <c r="R9" i="29"/>
  <c r="R10" i="29"/>
  <c r="R11" i="29"/>
  <c r="R12" i="29"/>
  <c r="R13" i="29"/>
  <c r="R14" i="29"/>
  <c r="R15" i="29"/>
  <c r="R16" i="29"/>
  <c r="R17" i="29"/>
  <c r="R18" i="29"/>
  <c r="R19" i="29"/>
  <c r="R20" i="29"/>
  <c r="R21" i="29"/>
  <c r="R22" i="29"/>
  <c r="R23" i="29"/>
  <c r="R24" i="29"/>
  <c r="R25" i="29"/>
  <c r="R26" i="29"/>
  <c r="R27" i="29"/>
  <c r="R28" i="29"/>
  <c r="R29" i="29"/>
  <c r="R30" i="29"/>
  <c r="R31" i="29"/>
  <c r="R32" i="29"/>
  <c r="R33" i="29"/>
  <c r="R34" i="29"/>
  <c r="R5" i="29"/>
  <c r="E88" i="27"/>
  <c r="E64" i="27"/>
  <c r="E59" i="27"/>
  <c r="E62" i="27"/>
  <c r="E82" i="27"/>
  <c r="E76" i="27"/>
  <c r="E78" i="27"/>
  <c r="E71" i="27"/>
  <c r="E58" i="27"/>
  <c r="E63" i="27"/>
  <c r="E77" i="27"/>
  <c r="E70" i="27"/>
  <c r="E60" i="27"/>
  <c r="E86" i="27"/>
  <c r="E75" i="27"/>
  <c r="E81" i="27"/>
  <c r="E67" i="27"/>
  <c r="E66" i="27"/>
  <c r="E87" i="27"/>
  <c r="E72" i="27"/>
  <c r="E55" i="27"/>
  <c r="E57" i="27"/>
  <c r="E83" i="27"/>
  <c r="E56" i="27"/>
  <c r="E74" i="27"/>
  <c r="E73" i="27"/>
  <c r="E69" i="27"/>
  <c r="E84" i="27"/>
  <c r="E61" i="27"/>
  <c r="E79" i="27"/>
  <c r="E68" i="27"/>
  <c r="E65" i="27"/>
  <c r="C25" i="28"/>
  <c r="C27" i="28"/>
  <c r="C29" i="28"/>
  <c r="B29" i="28"/>
  <c r="A29" i="28"/>
  <c r="A27" i="28"/>
  <c r="B27" i="28"/>
  <c r="B25" i="28"/>
  <c r="A25" i="28"/>
  <c r="Q6" i="29"/>
  <c r="Q7" i="29"/>
  <c r="Q5" i="29"/>
  <c r="O6" i="29"/>
  <c r="O5" i="29"/>
  <c r="O7" i="29"/>
  <c r="Z6" i="18"/>
  <c r="Z7" i="18"/>
  <c r="P7" i="29"/>
  <c r="P5" i="29"/>
  <c r="P6" i="29"/>
  <c r="X19" i="18" l="1"/>
  <c r="N10" i="29"/>
  <c r="N35" i="29"/>
  <c r="N37" i="29"/>
  <c r="N39" i="29"/>
  <c r="N36" i="29"/>
  <c r="N38" i="29"/>
  <c r="X16" i="18"/>
  <c r="K16" i="32"/>
  <c r="X10" i="18"/>
  <c r="K10" i="32"/>
  <c r="X29" i="18"/>
  <c r="K29" i="32"/>
  <c r="X14" i="18"/>
  <c r="K14" i="32"/>
  <c r="X20" i="18"/>
  <c r="K20" i="32"/>
  <c r="X9" i="18"/>
  <c r="X30" i="18"/>
  <c r="X27" i="18"/>
  <c r="K27" i="32"/>
  <c r="X13" i="18"/>
  <c r="X34" i="18"/>
  <c r="X24" i="18"/>
  <c r="K24" i="32"/>
  <c r="X33" i="18"/>
  <c r="K33" i="32"/>
  <c r="X18" i="18"/>
  <c r="K18" i="32"/>
  <c r="X31" i="18"/>
  <c r="X25" i="18"/>
  <c r="X23" i="18"/>
  <c r="K23" i="32"/>
  <c r="X17" i="18"/>
  <c r="X12" i="18"/>
  <c r="K12" i="32"/>
  <c r="C39" i="32" s="1"/>
  <c r="G39" i="32" s="1"/>
  <c r="X28" i="18"/>
  <c r="K28" i="32"/>
  <c r="X22" i="18"/>
  <c r="K22" i="32"/>
  <c r="X11" i="18"/>
  <c r="X32" i="18"/>
  <c r="K32" i="32"/>
  <c r="H5" i="32"/>
  <c r="C30" i="31"/>
  <c r="F30" i="31"/>
  <c r="E30" i="31"/>
  <c r="D30" i="31"/>
  <c r="E34" i="31"/>
  <c r="E28" i="31"/>
  <c r="E223" i="31"/>
  <c r="D223" i="31"/>
  <c r="C223" i="31"/>
  <c r="F223" i="31"/>
  <c r="AA33" i="18"/>
  <c r="AA10" i="18"/>
  <c r="AE33" i="18"/>
  <c r="AC25" i="18"/>
  <c r="V9" i="18"/>
  <c r="AD9" i="18" s="1"/>
  <c r="Y7" i="18"/>
  <c r="N32" i="29"/>
  <c r="F29" i="31"/>
  <c r="N29" i="29"/>
  <c r="D29" i="31"/>
  <c r="N27" i="29"/>
  <c r="AH7" i="18"/>
  <c r="M14" i="32"/>
  <c r="G14" i="32" s="1"/>
  <c r="M30" i="32"/>
  <c r="G30" i="32" s="1"/>
  <c r="M12" i="32"/>
  <c r="G12" i="32" s="1"/>
  <c r="M28" i="32"/>
  <c r="G28" i="32" s="1"/>
  <c r="M17" i="32"/>
  <c r="G17" i="32" s="1"/>
  <c r="M19" i="32"/>
  <c r="G19" i="32" s="1"/>
  <c r="M29" i="32"/>
  <c r="G29" i="32" s="1"/>
  <c r="M18" i="32"/>
  <c r="G18" i="32" s="1"/>
  <c r="M34" i="32"/>
  <c r="G34" i="32" s="1"/>
  <c r="M16" i="32"/>
  <c r="G16" i="32" s="1"/>
  <c r="M32" i="32"/>
  <c r="G32" i="32" s="1"/>
  <c r="M25" i="32"/>
  <c r="G25" i="32" s="1"/>
  <c r="M27" i="32"/>
  <c r="G27" i="32" s="1"/>
  <c r="M15" i="32"/>
  <c r="G15" i="32" s="1"/>
  <c r="M22" i="32"/>
  <c r="G22" i="32" s="1"/>
  <c r="M7" i="32"/>
  <c r="G7" i="32" s="1"/>
  <c r="M20" i="32"/>
  <c r="G20" i="32" s="1"/>
  <c r="M9" i="32"/>
  <c r="G9" i="32" s="1"/>
  <c r="M33" i="32"/>
  <c r="G33" i="32" s="1"/>
  <c r="M31" i="32"/>
  <c r="G31" i="32" s="1"/>
  <c r="M23" i="32"/>
  <c r="G23" i="32" s="1"/>
  <c r="M10" i="32"/>
  <c r="G10" i="32" s="1"/>
  <c r="M26" i="32"/>
  <c r="G26" i="32" s="1"/>
  <c r="M8" i="32"/>
  <c r="G8" i="32" s="1"/>
  <c r="M24" i="32"/>
  <c r="G24" i="32" s="1"/>
  <c r="M13" i="32"/>
  <c r="G13" i="32" s="1"/>
  <c r="M11" i="32"/>
  <c r="G11" i="32" s="1"/>
  <c r="M21" i="32"/>
  <c r="G21" i="32" s="1"/>
  <c r="M5" i="32"/>
  <c r="G5" i="32" s="1"/>
  <c r="M6" i="32"/>
  <c r="G6" i="32" s="1"/>
  <c r="C34" i="31"/>
  <c r="AC10" i="18"/>
  <c r="F28" i="31"/>
  <c r="N12" i="29"/>
  <c r="N15" i="29"/>
  <c r="D28" i="31"/>
  <c r="N13" i="29"/>
  <c r="N18" i="29"/>
  <c r="N5" i="29"/>
  <c r="T6" i="18" s="1"/>
  <c r="AA27" i="18"/>
  <c r="V25" i="18"/>
  <c r="AD25" i="18" s="1"/>
  <c r="C28" i="31"/>
  <c r="AI23" i="18"/>
  <c r="AJ23" i="18" s="1"/>
  <c r="R23" i="18" s="1"/>
  <c r="AI15" i="18"/>
  <c r="AJ15" i="18" s="1"/>
  <c r="R15" i="18" s="1"/>
  <c r="N21" i="29"/>
  <c r="AB25" i="18"/>
  <c r="N26" i="29"/>
  <c r="N6" i="29"/>
  <c r="N9" i="29"/>
  <c r="AA25" i="18"/>
  <c r="AE25" i="18"/>
  <c r="E29" i="31"/>
  <c r="AB9" i="18"/>
  <c r="Y6" i="18"/>
  <c r="AI34" i="18"/>
  <c r="AJ34" i="18" s="1"/>
  <c r="R34" i="18" s="1"/>
  <c r="AC9" i="18"/>
  <c r="AA26" i="18"/>
  <c r="B14" i="27"/>
  <c r="D222" i="31"/>
  <c r="AB29" i="18"/>
  <c r="B12" i="27"/>
  <c r="AH6" i="18"/>
  <c r="B13" i="27"/>
  <c r="AI11" i="18"/>
  <c r="AJ11" i="18" s="1"/>
  <c r="R11" i="18" s="1"/>
  <c r="AC11" i="18"/>
  <c r="AA14" i="18"/>
  <c r="AE10" i="18"/>
  <c r="AB34" i="18"/>
  <c r="F27" i="31"/>
  <c r="AA9" i="18"/>
  <c r="AI18" i="18"/>
  <c r="AJ18" i="18" s="1"/>
  <c r="R18" i="18" s="1"/>
  <c r="N14" i="29"/>
  <c r="N16" i="29"/>
  <c r="N7" i="29"/>
  <c r="N19" i="29"/>
  <c r="N17" i="29"/>
  <c r="N8" i="29"/>
  <c r="AE26" i="18"/>
  <c r="AE32" i="18"/>
  <c r="D27" i="31"/>
  <c r="C27" i="31"/>
  <c r="AI21" i="18"/>
  <c r="AJ21" i="18" s="1"/>
  <c r="R21" i="18" s="1"/>
  <c r="AI17" i="18"/>
  <c r="AJ17" i="18" s="1"/>
  <c r="R17" i="18" s="1"/>
  <c r="AI26" i="18"/>
  <c r="AJ26" i="18" s="1"/>
  <c r="R26" i="18" s="1"/>
  <c r="AC26" i="18"/>
  <c r="AC32" i="18"/>
  <c r="AB26" i="18"/>
  <c r="D34" i="31"/>
  <c r="C33" i="31"/>
  <c r="N22" i="29"/>
  <c r="N31" i="29"/>
  <c r="N30" i="29"/>
  <c r="N11" i="29"/>
  <c r="AA32" i="18"/>
  <c r="V32" i="18"/>
  <c r="AD32" i="18" s="1"/>
  <c r="AB32" i="18"/>
  <c r="V26" i="18"/>
  <c r="AD26" i="18" s="1"/>
  <c r="F222" i="31"/>
  <c r="E222" i="31"/>
  <c r="C222" i="31"/>
  <c r="A19" i="28"/>
  <c r="C29" i="31"/>
  <c r="B37" i="18"/>
  <c r="B3" i="18"/>
  <c r="B39" i="18"/>
  <c r="A32" i="12" s="1"/>
  <c r="E33" i="31"/>
  <c r="AI10" i="18"/>
  <c r="AJ10" i="18" s="1"/>
  <c r="R10" i="18" s="1"/>
  <c r="B38" i="18"/>
  <c r="A33" i="12" s="1"/>
  <c r="B4" i="18"/>
  <c r="B36" i="18"/>
  <c r="AI32" i="18"/>
  <c r="AJ32" i="18" s="1"/>
  <c r="R32" i="18" s="1"/>
  <c r="AI28" i="18"/>
  <c r="AJ28" i="18" s="1"/>
  <c r="R28" i="18" s="1"/>
  <c r="F34" i="31"/>
  <c r="D33" i="31"/>
  <c r="F33" i="31"/>
  <c r="AI19" i="18"/>
  <c r="AJ19" i="18" s="1"/>
  <c r="R19" i="18" s="1"/>
  <c r="B40" i="18"/>
  <c r="S38" i="18"/>
  <c r="F38" i="18" s="1"/>
  <c r="AI20" i="18"/>
  <c r="AJ20" i="18" s="1"/>
  <c r="R20" i="18" s="1"/>
  <c r="AI25" i="18"/>
  <c r="AJ25" i="18" s="1"/>
  <c r="R25" i="18" s="1"/>
  <c r="AE17" i="18"/>
  <c r="AC17" i="18"/>
  <c r="V13" i="18"/>
  <c r="AD13" i="18" s="1"/>
  <c r="AC21" i="18"/>
  <c r="AA11" i="18"/>
  <c r="AC23" i="18"/>
  <c r="U11" i="18"/>
  <c r="AC34" i="18"/>
  <c r="U21" i="18"/>
  <c r="U17" i="18"/>
  <c r="V34" i="18"/>
  <c r="AD34" i="18" s="1"/>
  <c r="AA34" i="18"/>
  <c r="AE11" i="18"/>
  <c r="U23" i="18"/>
  <c r="AE34" i="18"/>
  <c r="AE20" i="18"/>
  <c r="AB31" i="18"/>
  <c r="AE16" i="18"/>
  <c r="AC16" i="18"/>
  <c r="AC28" i="18"/>
  <c r="AC20" i="18"/>
  <c r="AC31" i="18"/>
  <c r="AE28" i="18"/>
  <c r="AE31" i="18"/>
  <c r="AA31" i="18"/>
  <c r="V30" i="18"/>
  <c r="AD30" i="18" s="1"/>
  <c r="U16" i="18"/>
  <c r="AB28" i="18"/>
  <c r="AA30" i="18"/>
  <c r="V14" i="18"/>
  <c r="AD14" i="18" s="1"/>
  <c r="AE14" i="18"/>
  <c r="AA28" i="18"/>
  <c r="AA23" i="18"/>
  <c r="V28" i="18"/>
  <c r="AD28" i="18" s="1"/>
  <c r="AC15" i="18"/>
  <c r="AE30" i="18"/>
  <c r="AE19" i="18"/>
  <c r="AB30" i="18"/>
  <c r="U10" i="18"/>
  <c r="AA19" i="18"/>
  <c r="AA21" i="18"/>
  <c r="AB14" i="18"/>
  <c r="AI29" i="18"/>
  <c r="AJ29" i="18" s="1"/>
  <c r="R29" i="18" s="1"/>
  <c r="U12" i="18"/>
  <c r="AC14" i="18"/>
  <c r="U15" i="18"/>
  <c r="AE23" i="18"/>
  <c r="V12" i="18"/>
  <c r="AD12" i="18" s="1"/>
  <c r="V21" i="18"/>
  <c r="AD21" i="18" s="1"/>
  <c r="U19" i="18"/>
  <c r="AC30" i="18"/>
  <c r="AB24" i="18"/>
  <c r="V31" i="18"/>
  <c r="AD31" i="18" s="1"/>
  <c r="AI33" i="18"/>
  <c r="AJ33" i="18" s="1"/>
  <c r="R33" i="18" s="1"/>
  <c r="AB12" i="18"/>
  <c r="AC27" i="18"/>
  <c r="V29" i="18"/>
  <c r="AD29" i="18" s="1"/>
  <c r="AC29" i="18"/>
  <c r="AE24" i="18"/>
  <c r="AB8" i="18"/>
  <c r="V24" i="18"/>
  <c r="AD24" i="18" s="1"/>
  <c r="V20" i="18"/>
  <c r="AD20" i="18" s="1"/>
  <c r="AC24" i="18"/>
  <c r="AE27" i="18"/>
  <c r="V27" i="18"/>
  <c r="AD27" i="18" s="1"/>
  <c r="AA29" i="18"/>
  <c r="U8" i="18"/>
  <c r="AB33" i="18"/>
  <c r="AE29" i="18"/>
  <c r="AC12" i="18"/>
  <c r="AC8" i="18"/>
  <c r="AC33" i="18"/>
  <c r="V33" i="18"/>
  <c r="AD33" i="18" s="1"/>
  <c r="AE12" i="18"/>
  <c r="U20" i="18"/>
  <c r="AA24" i="18"/>
  <c r="AB27" i="18"/>
  <c r="AI22" i="18"/>
  <c r="AJ22" i="18" s="1"/>
  <c r="R22" i="18" s="1"/>
  <c r="AI13" i="18"/>
  <c r="AJ13" i="18" s="1"/>
  <c r="R13" i="18" s="1"/>
  <c r="AI9" i="18"/>
  <c r="AJ9" i="18" s="1"/>
  <c r="R9" i="18" s="1"/>
  <c r="AI31" i="18"/>
  <c r="AJ31" i="18" s="1"/>
  <c r="R31" i="18" s="1"/>
  <c r="AI27" i="18"/>
  <c r="AJ27" i="18" s="1"/>
  <c r="R27" i="18" s="1"/>
  <c r="AI16" i="18"/>
  <c r="AJ16" i="18" s="1"/>
  <c r="R16" i="18" s="1"/>
  <c r="AI14" i="18"/>
  <c r="AJ14" i="18" s="1"/>
  <c r="R14" i="18" s="1"/>
  <c r="AE15" i="18"/>
  <c r="U22" i="18"/>
  <c r="U18" i="18"/>
  <c r="V22" i="18"/>
  <c r="AD22" i="18" s="1"/>
  <c r="AA15" i="18"/>
  <c r="AC13" i="18"/>
  <c r="AE13" i="18"/>
  <c r="V15" i="18"/>
  <c r="AD15" i="18" s="1"/>
  <c r="U13" i="18"/>
  <c r="AB11" i="18"/>
  <c r="X8" i="18"/>
  <c r="AA13" i="18"/>
  <c r="AI12" i="18"/>
  <c r="AJ12" i="18" s="1"/>
  <c r="R12" i="18" s="1"/>
  <c r="AI30" i="18"/>
  <c r="AJ30" i="18" s="1"/>
  <c r="R30" i="18" s="1"/>
  <c r="AC22" i="18"/>
  <c r="AE22" i="18"/>
  <c r="V18" i="18"/>
  <c r="AD18" i="18" s="1"/>
  <c r="AB18" i="18"/>
  <c r="AI24" i="18"/>
  <c r="AJ24" i="18" s="1"/>
  <c r="R24" i="18" s="1"/>
  <c r="N24" i="29"/>
  <c r="N23" i="29"/>
  <c r="N20" i="29"/>
  <c r="N28" i="29"/>
  <c r="N33" i="29"/>
  <c r="N34" i="29"/>
  <c r="N25" i="29"/>
  <c r="V17" i="18"/>
  <c r="AD17" i="18" s="1"/>
  <c r="AA22" i="18"/>
  <c r="AA18" i="18"/>
  <c r="AB23" i="18"/>
  <c r="AB20" i="18"/>
  <c r="V8" i="18"/>
  <c r="AD8" i="18" s="1"/>
  <c r="AE21" i="18"/>
  <c r="V19" i="18"/>
  <c r="AD19" i="18" s="1"/>
  <c r="AB17" i="18"/>
  <c r="AB10" i="18"/>
  <c r="AE9" i="18"/>
  <c r="AC18" i="18"/>
  <c r="AA16" i="18"/>
  <c r="AB19" i="18"/>
  <c r="V16" i="18"/>
  <c r="AD16" i="18" s="1"/>
  <c r="AE8" i="18"/>
  <c r="K35" i="32" l="1"/>
  <c r="D12" i="27"/>
  <c r="B29" i="31"/>
  <c r="A49" i="12" s="1"/>
  <c r="B30" i="31"/>
  <c r="A50" i="12" s="1"/>
  <c r="L35" i="32"/>
  <c r="B27" i="31"/>
  <c r="A47" i="12" s="1"/>
  <c r="C39" i="12"/>
  <c r="V6" i="18"/>
  <c r="AD6" i="18" s="1"/>
  <c r="AB6" i="18"/>
  <c r="U6" i="18"/>
  <c r="AA6" i="18" s="1"/>
  <c r="AE6" i="18"/>
  <c r="AC6" i="18"/>
  <c r="B34" i="31"/>
  <c r="A54" i="12" s="1"/>
  <c r="B33" i="31"/>
  <c r="A53" i="12" s="1"/>
  <c r="B28" i="31"/>
  <c r="A48" i="12" s="1"/>
  <c r="B222" i="31"/>
  <c r="B223" i="31"/>
  <c r="B9" i="12" s="1"/>
  <c r="AF25" i="18"/>
  <c r="T7" i="18"/>
  <c r="AF9" i="18"/>
  <c r="X6" i="18"/>
  <c r="AF10" i="18"/>
  <c r="AF32" i="18"/>
  <c r="AF26" i="18"/>
  <c r="AF33" i="18"/>
  <c r="AF17" i="18"/>
  <c r="AF34" i="18"/>
  <c r="AF21" i="18"/>
  <c r="AF27" i="18"/>
  <c r="AF28" i="18"/>
  <c r="AF11" i="18"/>
  <c r="AF18" i="18"/>
  <c r="AF30" i="18"/>
  <c r="AF14" i="18"/>
  <c r="AF15" i="18"/>
  <c r="AF29" i="18"/>
  <c r="AF31" i="18"/>
  <c r="AF12" i="18"/>
  <c r="AF20" i="18"/>
  <c r="AF23" i="18"/>
  <c r="AF19" i="18"/>
  <c r="AF22" i="18"/>
  <c r="AF24" i="18"/>
  <c r="N38" i="18"/>
  <c r="C30" i="12" s="1"/>
  <c r="AF13" i="18"/>
  <c r="AF8" i="18"/>
  <c r="AF16" i="18"/>
  <c r="C38" i="32" l="1"/>
  <c r="G38" i="32" s="1"/>
  <c r="D39" i="32"/>
  <c r="AF6" i="18"/>
  <c r="AG6" i="18" s="1"/>
  <c r="AI6" i="18" s="1"/>
  <c r="AJ6" i="18" s="1"/>
  <c r="R6" i="18" s="1"/>
  <c r="D38" i="32"/>
  <c r="M35" i="32"/>
  <c r="U7" i="18"/>
  <c r="AA7" i="18" s="1"/>
  <c r="AB7" i="18"/>
  <c r="X7" i="18"/>
  <c r="AC7" i="18"/>
  <c r="V7" i="18"/>
  <c r="AD7" i="18" s="1"/>
  <c r="AE7" i="18"/>
  <c r="C38" i="12" l="1"/>
  <c r="H39" i="32"/>
  <c r="L38" i="32"/>
  <c r="M38" i="32" s="1"/>
  <c r="H38" i="32" s="1"/>
  <c r="C41" i="12" s="1"/>
  <c r="R5" i="18"/>
  <c r="AF7" i="18"/>
  <c r="AG7" i="18" s="1"/>
  <c r="AI7" i="18" s="1"/>
  <c r="AJ7" i="18" s="1"/>
  <c r="R7" i="18" s="1"/>
  <c r="C40" i="12" l="1"/>
  <c r="G40" i="32"/>
  <c r="C42" i="12" s="1"/>
  <c r="S39" i="18"/>
  <c r="F39" i="18" s="1"/>
  <c r="AJ38" i="18"/>
  <c r="H38" i="18" s="1"/>
  <c r="P38" i="18" s="1"/>
  <c r="C33" i="12" s="1"/>
  <c r="B106" i="31"/>
  <c r="G4" i="32" s="1"/>
  <c r="N39" i="18" l="1"/>
  <c r="H39" i="18"/>
  <c r="C31" i="12" l="1"/>
  <c r="P39" i="18"/>
  <c r="C32" i="12" l="1"/>
  <c r="N40" i="18"/>
  <c r="C3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Severin Lenel</author>
  </authors>
  <commentList>
    <comment ref="A228" authorId="0" shapeId="0" xr:uid="{00000000-0006-0000-0600-000001000000}">
      <text>
        <r>
          <rPr>
            <b/>
            <sz val="9"/>
            <color indexed="81"/>
            <rFont val="Tahoma"/>
            <family val="2"/>
          </rPr>
          <t>Achtung:</t>
        </r>
        <r>
          <rPr>
            <sz val="9"/>
            <color indexed="81"/>
            <rFont val="Tahoma"/>
            <family val="2"/>
          </rPr>
          <t xml:space="preserve">
Die Namen der Tabellen Fenster und Tageslicht dürfen keine Leerzeichen enthalten.</t>
        </r>
      </text>
    </comment>
  </commentList>
</comments>
</file>

<file path=xl/sharedStrings.xml><?xml version="1.0" encoding="utf-8"?>
<sst xmlns="http://schemas.openxmlformats.org/spreadsheetml/2006/main" count="1560" uniqueCount="1061">
  <si>
    <t>Hörsaal</t>
  </si>
  <si>
    <t>Zusammenfassung</t>
  </si>
  <si>
    <t>Datum</t>
  </si>
  <si>
    <t>Architekt</t>
  </si>
  <si>
    <t>Elektroplanung</t>
  </si>
  <si>
    <t>Ersteller Nachweis</t>
  </si>
  <si>
    <t>Beleuchtungsplanung</t>
  </si>
  <si>
    <t>Typische Räume</t>
  </si>
  <si>
    <t>Grossraumbüro</t>
  </si>
  <si>
    <t>Sitzungszimmer</t>
  </si>
  <si>
    <t>Schulzimmer</t>
  </si>
  <si>
    <t>Restaurant</t>
  </si>
  <si>
    <t>Selbstbedienungsrestaurant</t>
  </si>
  <si>
    <t>Fitnessraum</t>
  </si>
  <si>
    <t>Hotel-Empfang/Lobby</t>
  </si>
  <si>
    <t>Schule</t>
  </si>
  <si>
    <t>Mehrzweckhalle</t>
  </si>
  <si>
    <t>Ausstellungshalle</t>
  </si>
  <si>
    <t xml:space="preserve">Stationszimmer </t>
  </si>
  <si>
    <t>Produktion (grobe Arbeit)</t>
  </si>
  <si>
    <t>Produktion (feine Arbeit)</t>
  </si>
  <si>
    <t>normal</t>
  </si>
  <si>
    <t>Neubau</t>
  </si>
  <si>
    <t>Bauherr</t>
  </si>
  <si>
    <t>Projekt-Typ</t>
  </si>
  <si>
    <t>Länge
m</t>
  </si>
  <si>
    <t>Tiefe
m</t>
  </si>
  <si>
    <t>Höhe
m</t>
  </si>
  <si>
    <t>Küche zu Restaurant</t>
  </si>
  <si>
    <t>Küche SB-Restaurant</t>
  </si>
  <si>
    <t>Vorstellungsraum</t>
  </si>
  <si>
    <t>Hotelzimmer</t>
  </si>
  <si>
    <t>Wohnen</t>
  </si>
  <si>
    <t>Projektwert 
Tageslichtstd.
h/a</t>
  </si>
  <si>
    <t>Maximale
Tageslichtstd.
h/d</t>
  </si>
  <si>
    <t>Erfüllungs-
grad
%</t>
  </si>
  <si>
    <t>Berechnung der Vollaststunden Projektwert</t>
  </si>
  <si>
    <t>Typischer Raum</t>
  </si>
  <si>
    <t>Anzahl
Stk</t>
  </si>
  <si>
    <t>Modernisierung</t>
  </si>
  <si>
    <t>Raum-Reflexion
-</t>
  </si>
  <si>
    <t>Objektdaten</t>
  </si>
  <si>
    <t>Name</t>
  </si>
  <si>
    <t>New Construction</t>
  </si>
  <si>
    <t>Renovation</t>
  </si>
  <si>
    <t>Sie müssen einen Eintrag aus der Liste wählen.</t>
  </si>
  <si>
    <t>Deutsch</t>
  </si>
  <si>
    <t>Italiano</t>
  </si>
  <si>
    <t>English</t>
  </si>
  <si>
    <t>Projektbezeichnung</t>
  </si>
  <si>
    <t>Nr.</t>
  </si>
  <si>
    <t>Fragen</t>
  </si>
  <si>
    <t>Antwort</t>
  </si>
  <si>
    <t>Nein</t>
  </si>
  <si>
    <t>Ja</t>
  </si>
  <si>
    <t>Werden die Fensteröffnungen grundsätzlich beibehalten oder vergrössert?</t>
  </si>
  <si>
    <t>Werden die Glasflächen grundsätzlich beibehalten oder vergrössert?</t>
  </si>
  <si>
    <t>Wurde bei der Wahl der Verglasung auf einen hohen Transmissionswert geachtet?</t>
  </si>
  <si>
    <t>Wurden die Räume grundsätzlich (mind. Decken und Wände) mit heller Farben gestrichen?</t>
  </si>
  <si>
    <t>Verwaltung</t>
  </si>
  <si>
    <t>Werden keine Elemente (z.B. Balkone, Vordächer) an die Fassade gebaut, welche den Tageslichteinfall verschlechtert?</t>
  </si>
  <si>
    <t>Gebäude mit einem eher kleinen Anteil Fenster- an Fassadenfläche</t>
  </si>
  <si>
    <t>Gebäude mit einem mittleren Anteil Fenster- an Fassadenfläche</t>
  </si>
  <si>
    <t>Gebäude mit einem grossen Anteil Fenster- an Fassadenfläche</t>
  </si>
  <si>
    <t>Hauptnutzung</t>
  </si>
  <si>
    <t>Fenster</t>
  </si>
  <si>
    <t>Anzahl</t>
  </si>
  <si>
    <t>Raumdaten</t>
  </si>
  <si>
    <t>Typ
-</t>
  </si>
  <si>
    <t>Fensterdaten</t>
  </si>
  <si>
    <t>Breite</t>
  </si>
  <si>
    <t>Höhe</t>
  </si>
  <si>
    <t>Tau</t>
  </si>
  <si>
    <t>Sonnenschutz</t>
  </si>
  <si>
    <t>Kürzel</t>
  </si>
  <si>
    <t>Bezeichnung</t>
  </si>
  <si>
    <t>Breite
m</t>
  </si>
  <si>
    <t>Tau
%</t>
  </si>
  <si>
    <t>Sonnenschutz
-</t>
  </si>
  <si>
    <t>Bezeichnung
-</t>
  </si>
  <si>
    <t>Kürzel
-</t>
  </si>
  <si>
    <t>Sturzhöhe
m</t>
  </si>
  <si>
    <t>Steuerung
-</t>
  </si>
  <si>
    <t>Horizontverschattung</t>
  </si>
  <si>
    <t>Freie Sicht, keine oder geringe Verschattung durch Umgebung</t>
  </si>
  <si>
    <t>Mittlere Verschattung, Verbauungshöhenwinkel 15°-35°</t>
  </si>
  <si>
    <t>In der Stadt oder grosse Verschattung durch Umgebung</t>
  </si>
  <si>
    <t>Beleuchtungsstärke</t>
  </si>
  <si>
    <t>Raumnutzung</t>
  </si>
  <si>
    <t>Einzel-, Gruppenbüro</t>
  </si>
  <si>
    <t>Schalterhalle, Empfang</t>
  </si>
  <si>
    <t>Lehrerzimmer</t>
  </si>
  <si>
    <t>Bibliothek</t>
  </si>
  <si>
    <t>Schulfachraum</t>
  </si>
  <si>
    <t>Lebensmittelverkauf</t>
  </si>
  <si>
    <t>Fachgeschäft</t>
  </si>
  <si>
    <t>Verkauf Möbel, Bau, Garten</t>
  </si>
  <si>
    <t>Laborraum</t>
  </si>
  <si>
    <t>Küche, Teeküche</t>
  </si>
  <si>
    <r>
      <t>E</t>
    </r>
    <r>
      <rPr>
        <b/>
        <vertAlign val="subscript"/>
        <sz val="9"/>
        <rFont val="Arial"/>
        <family val="2"/>
      </rPr>
      <t>vm</t>
    </r>
  </si>
  <si>
    <r>
      <t>k</t>
    </r>
    <r>
      <rPr>
        <b/>
        <vertAlign val="subscript"/>
        <sz val="9"/>
        <rFont val="Arial"/>
        <family val="2"/>
      </rPr>
      <t>0</t>
    </r>
  </si>
  <si>
    <r>
      <t>E</t>
    </r>
    <r>
      <rPr>
        <b/>
        <vertAlign val="subscript"/>
        <sz val="9"/>
        <rFont val="Arial"/>
        <family val="2"/>
      </rPr>
      <t>0</t>
    </r>
  </si>
  <si>
    <t>Wohn-, Schlafzimmer</t>
  </si>
  <si>
    <t>Helle Lamellen mit Umlenksystem</t>
  </si>
  <si>
    <t>Helle Lamellen ohne Umlenksystem</t>
  </si>
  <si>
    <t>Mittelhelle Lamellen, lichtdurchlässiger Stoff</t>
  </si>
  <si>
    <t>Lichtundurchlässiger Behang</t>
  </si>
  <si>
    <t>Sonnenschutzsteuerung</t>
  </si>
  <si>
    <t>Motorbetrieben, automatisch, Lamellennachführung</t>
  </si>
  <si>
    <t>Motorbetrieben, automatisch</t>
  </si>
  <si>
    <t>Manuell</t>
  </si>
  <si>
    <t>Motorbetrieben, automatisch, Berücks. Verschattung</t>
  </si>
  <si>
    <t>Motorbetrieben, manuell</t>
  </si>
  <si>
    <t>Steuerung</t>
  </si>
  <si>
    <t>Verschattung
-</t>
  </si>
  <si>
    <t>Oberlicht
-</t>
  </si>
  <si>
    <t>Raumreflexion</t>
  </si>
  <si>
    <t>Hell</t>
  </si>
  <si>
    <t>Dunkel</t>
  </si>
  <si>
    <t>Normal</t>
  </si>
  <si>
    <t>Typ 1
-</t>
  </si>
  <si>
    <t>Typ 2
-</t>
  </si>
  <si>
    <t>Typ 3
-</t>
  </si>
  <si>
    <t>Typ 4
-</t>
  </si>
  <si>
    <t>Ergebnisse</t>
  </si>
  <si>
    <t>Zwischenergebnisse</t>
  </si>
  <si>
    <t>Mittlere Sturzhöhe
m</t>
  </si>
  <si>
    <t>Mittlerer Tau-Wert
%</t>
  </si>
  <si>
    <t>Verschattung</t>
  </si>
  <si>
    <t>Glasanteil
%</t>
  </si>
  <si>
    <t>Bewertungsskala</t>
  </si>
  <si>
    <t>Gut</t>
  </si>
  <si>
    <t>Befriedigend</t>
  </si>
  <si>
    <t>Ungenügend</t>
  </si>
  <si>
    <t>Die Anforderungen von MINERGIE-ECO sind</t>
  </si>
  <si>
    <t>Summen</t>
  </si>
  <si>
    <t>Mindesterfüllung</t>
  </si>
  <si>
    <t>MaxUFläche</t>
  </si>
  <si>
    <t>Version</t>
  </si>
  <si>
    <t>Erfasste Raumfläche total</t>
  </si>
  <si>
    <t>m2</t>
  </si>
  <si>
    <t>Raumfläche mit ungenügendem Ergebnis</t>
  </si>
  <si>
    <t>%</t>
  </si>
  <si>
    <t>Die Anforderungen von Minergie-Eco sind</t>
  </si>
  <si>
    <t>Kurzanleitung</t>
  </si>
  <si>
    <r>
      <t>m</t>
    </r>
    <r>
      <rPr>
        <vertAlign val="superscript"/>
        <sz val="10"/>
        <rFont val="Arial"/>
        <family val="2"/>
      </rPr>
      <t>2</t>
    </r>
  </si>
  <si>
    <r>
      <t>Glasfläche
m</t>
    </r>
    <r>
      <rPr>
        <vertAlign val="superscript"/>
        <sz val="10"/>
        <color indexed="9"/>
        <rFont val="Arial"/>
        <family val="2"/>
      </rPr>
      <t>2</t>
    </r>
  </si>
  <si>
    <r>
      <t>Balkon k</t>
    </r>
    <r>
      <rPr>
        <vertAlign val="subscript"/>
        <sz val="10"/>
        <color indexed="9"/>
        <rFont val="Arial"/>
        <family val="2"/>
      </rPr>
      <t>B
-</t>
    </r>
  </si>
  <si>
    <t>Sonnenschutz und Verschattung</t>
  </si>
  <si>
    <t>Berechnungen</t>
  </si>
  <si>
    <t>Auskragung
m</t>
  </si>
  <si>
    <t>Dunkle Lamellen, wenig durchlässiger Stoff</t>
  </si>
  <si>
    <r>
      <t>Raum-fläche
m</t>
    </r>
    <r>
      <rPr>
        <vertAlign val="superscript"/>
        <sz val="10"/>
        <color indexed="9"/>
        <rFont val="Arial"/>
        <family val="2"/>
      </rPr>
      <t>2</t>
    </r>
  </si>
  <si>
    <r>
      <t>F/B
z</t>
    </r>
    <r>
      <rPr>
        <vertAlign val="subscript"/>
        <sz val="10"/>
        <color indexed="9"/>
        <rFont val="Arial"/>
        <family val="2"/>
      </rPr>
      <t>g</t>
    </r>
  </si>
  <si>
    <r>
      <t>Max. F/B
z</t>
    </r>
    <r>
      <rPr>
        <vertAlign val="subscript"/>
        <sz val="10"/>
        <color indexed="9"/>
        <rFont val="Arial"/>
        <family val="2"/>
      </rPr>
      <t>g0</t>
    </r>
  </si>
  <si>
    <r>
      <t>Refle-xion
k</t>
    </r>
    <r>
      <rPr>
        <vertAlign val="subscript"/>
        <sz val="10"/>
        <color indexed="9"/>
        <rFont val="Arial"/>
        <family val="2"/>
      </rPr>
      <t>Re</t>
    </r>
  </si>
  <si>
    <r>
      <t>Trans-mission
k</t>
    </r>
    <r>
      <rPr>
        <vertAlign val="subscript"/>
        <sz val="10"/>
        <color indexed="9"/>
        <rFont val="Arial"/>
        <family val="2"/>
      </rPr>
      <t>T</t>
    </r>
  </si>
  <si>
    <r>
      <t>Sonnen-schutz
k</t>
    </r>
    <r>
      <rPr>
        <vertAlign val="subscript"/>
        <sz val="10"/>
        <color indexed="9"/>
        <rFont val="Arial"/>
        <family val="2"/>
      </rPr>
      <t>Sp</t>
    </r>
  </si>
  <si>
    <r>
      <t>Umge-bung
k</t>
    </r>
    <r>
      <rPr>
        <vertAlign val="subscript"/>
        <sz val="10"/>
        <color indexed="9"/>
        <rFont val="Arial"/>
        <family val="2"/>
      </rPr>
      <t>sur</t>
    </r>
  </si>
  <si>
    <r>
      <t>Sturz
k</t>
    </r>
    <r>
      <rPr>
        <vertAlign val="subscript"/>
        <sz val="10"/>
        <color indexed="9"/>
        <rFont val="Arial"/>
        <family val="2"/>
      </rPr>
      <t>Ii</t>
    </r>
  </si>
  <si>
    <r>
      <t>Balkon
k</t>
    </r>
    <r>
      <rPr>
        <vertAlign val="subscript"/>
        <sz val="10"/>
        <color indexed="9"/>
        <rFont val="Arial"/>
        <family val="2"/>
      </rPr>
      <t>B</t>
    </r>
  </si>
  <si>
    <r>
      <t>Min. Voll-laststd. t</t>
    </r>
    <r>
      <rPr>
        <vertAlign val="subscript"/>
        <sz val="10"/>
        <color indexed="9"/>
        <rFont val="Arial"/>
        <family val="2"/>
      </rPr>
      <t>L,min.</t>
    </r>
  </si>
  <si>
    <t>gut erfüllt</t>
  </si>
  <si>
    <t>erfüllt</t>
  </si>
  <si>
    <t>nicht erfüllt</t>
  </si>
  <si>
    <t>Konstanten</t>
  </si>
  <si>
    <t>Texte</t>
  </si>
  <si>
    <t>ID</t>
  </si>
  <si>
    <t>Gewählt</t>
  </si>
  <si>
    <t>Tageslicht-Tool Minergie-Eco®</t>
  </si>
  <si>
    <t>A3</t>
  </si>
  <si>
    <t>A1</t>
  </si>
  <si>
    <t>A5</t>
  </si>
  <si>
    <t>A8</t>
  </si>
  <si>
    <t>A11</t>
  </si>
  <si>
    <t>A14</t>
  </si>
  <si>
    <t>A17</t>
  </si>
  <si>
    <t>A20</t>
  </si>
  <si>
    <t>A23</t>
  </si>
  <si>
    <t>A26</t>
  </si>
  <si>
    <t>A28</t>
  </si>
  <si>
    <t>A30</t>
  </si>
  <si>
    <t>A34</t>
  </si>
  <si>
    <t>A36</t>
  </si>
  <si>
    <t>A38</t>
  </si>
  <si>
    <t>A39</t>
  </si>
  <si>
    <t>A42</t>
  </si>
  <si>
    <t>A44</t>
  </si>
  <si>
    <t>A46</t>
  </si>
  <si>
    <t>Tabelle Fenster</t>
  </si>
  <si>
    <t>Francais</t>
  </si>
  <si>
    <t>Tabelle Überblick</t>
  </si>
  <si>
    <t>B4</t>
  </si>
  <si>
    <t>C4</t>
  </si>
  <si>
    <t>D4</t>
  </si>
  <si>
    <t>E4</t>
  </si>
  <si>
    <t>F4</t>
  </si>
  <si>
    <t>G4</t>
  </si>
  <si>
    <t>H4</t>
  </si>
  <si>
    <t>I4</t>
  </si>
  <si>
    <t>J4</t>
  </si>
  <si>
    <t>B3</t>
  </si>
  <si>
    <t>K3</t>
  </si>
  <si>
    <t>K4</t>
  </si>
  <si>
    <t>L4</t>
  </si>
  <si>
    <t>M4</t>
  </si>
  <si>
    <t>Tabelle Tageslicht</t>
  </si>
  <si>
    <t>Typische Räume und Tageslicht</t>
  </si>
  <si>
    <t>Fläche
m2</t>
  </si>
  <si>
    <t xml:space="preserve">Tageslicht-Erfüllungsgrad über alle Räume (Erfüllungsgrad mindestens </t>
  </si>
  <si>
    <t xml:space="preserve">Anteil der Raumfläche mit ungenügendem Ergebnis (maximal </t>
  </si>
  <si>
    <t>A4</t>
  </si>
  <si>
    <t>D3</t>
  </si>
  <si>
    <t>J3</t>
  </si>
  <si>
    <t>N4</t>
  </si>
  <si>
    <t>O4</t>
  </si>
  <si>
    <t>P4</t>
  </si>
  <si>
    <t>Q4</t>
  </si>
  <si>
    <t>Auswahlfelder und Textkonstanten</t>
  </si>
  <si>
    <t>Bewertung</t>
  </si>
  <si>
    <t>Tabelle Fragenkatalog Modernisierung</t>
  </si>
  <si>
    <t>Fragenkatalog für Modernisierungen</t>
  </si>
  <si>
    <t xml:space="preserve">                                                                  DIESES ARBEITSBLATT IST NUR BEI MODERNISIERUNGSPROJEKTEN AUSZUFÜLLEN</t>
  </si>
  <si>
    <t>Die Anforderungen von MINERGIE-ECO an Modernisierungen sind erfüllt. Es wird automatisch ein Tageslichterfüllungsgrad von 50% angenommen (genügend)</t>
  </si>
  <si>
    <t>Bitte füllen Sie das Arbeitsblatt 'Tageslicht' für den Zustand nach der Modernisierung aus und bestimmen sie eine Gebäudekategorie die ihrem Gebäude am nächsten kommt:</t>
  </si>
  <si>
    <t>E3</t>
  </si>
  <si>
    <t>A7</t>
  </si>
  <si>
    <t>A9</t>
  </si>
  <si>
    <t>A13</t>
  </si>
  <si>
    <t>A19</t>
  </si>
  <si>
    <t>A21</t>
  </si>
  <si>
    <t>Projekttyp</t>
  </si>
  <si>
    <t>Bemerkung Typ</t>
  </si>
  <si>
    <t>A31</t>
  </si>
  <si>
    <t>JaNein</t>
  </si>
  <si>
    <t>B23</t>
  </si>
  <si>
    <t>C23</t>
  </si>
  <si>
    <t>D25</t>
  </si>
  <si>
    <t>D27</t>
  </si>
  <si>
    <t>D29</t>
  </si>
  <si>
    <t>Objet</t>
  </si>
  <si>
    <t>Projet</t>
  </si>
  <si>
    <t>Type de projet</t>
  </si>
  <si>
    <t>Maître de l'ouvrage</t>
  </si>
  <si>
    <t>Architecte</t>
  </si>
  <si>
    <t>Planificateur électricité</t>
  </si>
  <si>
    <t>Planificateur éclairage</t>
  </si>
  <si>
    <t>Concepteur du justificatif</t>
  </si>
  <si>
    <t>Date</t>
  </si>
  <si>
    <t>Surface nette totale</t>
  </si>
  <si>
    <t xml:space="preserve">Surface avec un résultat insuffisant </t>
  </si>
  <si>
    <t>Procédé</t>
  </si>
  <si>
    <t>sont remplies</t>
  </si>
  <si>
    <t>ne sont pas remplies</t>
  </si>
  <si>
    <t>sont bien remplies</t>
  </si>
  <si>
    <t xml:space="preserve">Les exigences du label Minergie-Eco  </t>
  </si>
  <si>
    <t>Locaux types et lumière du jour</t>
  </si>
  <si>
    <t>Locaux types</t>
  </si>
  <si>
    <t>Lon-gueur
m</t>
  </si>
  <si>
    <t>Pro-fondeur m</t>
  </si>
  <si>
    <t>Hauteur
m</t>
  </si>
  <si>
    <t>Surface nette
m2</t>
  </si>
  <si>
    <t>Nombre pce</t>
  </si>
  <si>
    <t>Donées du local</t>
  </si>
  <si>
    <t>Mix de réflexion
-</t>
  </si>
  <si>
    <t>Fenêtres</t>
  </si>
  <si>
    <t>Type 1
-</t>
  </si>
  <si>
    <t>Type 2
-</t>
  </si>
  <si>
    <t>Type 3
-</t>
  </si>
  <si>
    <t>Type 4
-</t>
  </si>
  <si>
    <t>Résultats</t>
  </si>
  <si>
    <t>Degré total d'autonomie en lumière du jour (degré rempli min.</t>
  </si>
  <si>
    <t xml:space="preserve">Part de surface avec un résultat insuffisant (max. </t>
  </si>
  <si>
    <t>Liste de questions dans le cas d'une rénovation</t>
  </si>
  <si>
    <t>Quéstions</t>
  </si>
  <si>
    <t>Réponse</t>
  </si>
  <si>
    <t>Les ouvertures des fenêtres sont-elles maintenues ou augmentées?</t>
  </si>
  <si>
    <t>Les surfaces de vitrage sont-elles maintenues ou augmentées?</t>
  </si>
  <si>
    <t>A-t-on prêté attention, lors du choix du vitrage, à choisir une valeur de transmission lumineuse élevée?</t>
  </si>
  <si>
    <t>Pas d'éléments (p.ex, les balcons, les avant-toits) construits sur la façade qui diminuent la lumière du jour?</t>
  </si>
  <si>
    <t xml:space="preserve">Les pièces (au moins les plafonds et les murs) ont-elles été peintes principalement avec des couleurs claires? </t>
  </si>
  <si>
    <t>Compte-rendu</t>
  </si>
  <si>
    <t>CET ONGLET NE DOIT ÊTRE REMPLI QUE DANS LE CAS D’UNE RÉNOVATION</t>
  </si>
  <si>
    <t>Les exigences du label MINERGI-ECO pour la rénovation sont remplies. Il est considéré automatiquement un degré de réalisation de lumière du jour de 50% (suffisant).</t>
  </si>
  <si>
    <t>Veuillez remplir la feuille 'Lumière du jour' pour l'état après rénovation et déterminer la catégorie de bâtiment qui correspond le mieux à votre projet:</t>
  </si>
  <si>
    <t>Habitat</t>
  </si>
  <si>
    <t>Administration</t>
  </si>
  <si>
    <t>École</t>
  </si>
  <si>
    <t>Bâtiments avec une faible proportion de fenêtres</t>
  </si>
  <si>
    <t>Bâtiments avec proportion moyenne de fenêtres</t>
  </si>
  <si>
    <t>Bâtiment avec une proportion élevée de fenêtres</t>
  </si>
  <si>
    <t xml:space="preserve">Eine ausführliche Anleitung finden Sie auf der Minergie-Website.  </t>
  </si>
  <si>
    <t xml:space="preserve">Des instructions détaillées peuvent être trouvées sur le site internet de Minergie.  </t>
  </si>
  <si>
    <t>Hauteur du linteau 
m</t>
  </si>
  <si>
    <t>Porte-à-faux
m</t>
  </si>
  <si>
    <t>Ombrage horizon
-</t>
  </si>
  <si>
    <t>Lumière zénithale
-</t>
  </si>
  <si>
    <t>Contrôle
-</t>
  </si>
  <si>
    <t>Séjour, chambre à coucher</t>
  </si>
  <si>
    <t>Chambre d'hôtel</t>
  </si>
  <si>
    <t>Cuisine de restaurant self-service</t>
  </si>
  <si>
    <t>Cuisine de restaurant</t>
  </si>
  <si>
    <t>Restaurant self-service</t>
  </si>
  <si>
    <t>Chambre d'hôpital</t>
  </si>
  <si>
    <t>Bettenzimmer (Spital)</t>
  </si>
  <si>
    <t>Réception, zone d'accueil</t>
  </si>
  <si>
    <t>Bureau individuel, collectif</t>
  </si>
  <si>
    <t>Bibliothèque</t>
  </si>
  <si>
    <t>Salle d'école</t>
  </si>
  <si>
    <t>Halle d'exposition</t>
  </si>
  <si>
    <t>Locaux médicaux</t>
  </si>
  <si>
    <t>Salle de fitness</t>
  </si>
  <si>
    <t>Bureau paysagé</t>
  </si>
  <si>
    <t>Auditoire</t>
  </si>
  <si>
    <t>Production (travail fin)</t>
  </si>
  <si>
    <t>Production (travail lourd)</t>
  </si>
  <si>
    <t>Hall des guichets, zone clientèle</t>
  </si>
  <si>
    <t>Salle d'école spéciale</t>
  </si>
  <si>
    <t>Salle de réunion</t>
  </si>
  <si>
    <t>Bureau de service hospitalier</t>
  </si>
  <si>
    <r>
      <t>Salle des maîtres</t>
    </r>
    <r>
      <rPr>
        <sz val="10"/>
        <rFont val="Arial"/>
        <family val="2"/>
      </rPr>
      <t>/ lieu de séjour</t>
    </r>
  </si>
  <si>
    <t>Magasin d'alimentation</t>
  </si>
  <si>
    <t>Magasin spécialisé</t>
  </si>
  <si>
    <t>Salle polyvalente</t>
  </si>
  <si>
    <t>Magasin de meubles, bricolage et jardin</t>
  </si>
  <si>
    <t>Laboratoire</t>
  </si>
  <si>
    <t>Cuisine, cuisine d'étage</t>
  </si>
  <si>
    <t>Salle de spectacle</t>
  </si>
  <si>
    <t>clair</t>
  </si>
  <si>
    <t>sombre</t>
  </si>
  <si>
    <t>Nouveau bâtiment</t>
  </si>
  <si>
    <t>Rénovation</t>
  </si>
  <si>
    <t>Lamelles claires avec système de déflexion</t>
  </si>
  <si>
    <t>Lamelles claires sans système de déflexion</t>
  </si>
  <si>
    <t>Lamelles moyennement claires ou store en tissu translucide</t>
  </si>
  <si>
    <t>Lamelles foncées ou store en tissu peu translucide</t>
  </si>
  <si>
    <t>Store non translucide</t>
  </si>
  <si>
    <t>Motorisé, automatique et à guidage des lamelles</t>
  </si>
  <si>
    <t>Motorisé, automatique, tenant compte de l'ombragement</t>
  </si>
  <si>
    <t>Motorisé à commande automatique</t>
  </si>
  <si>
    <t>Motorisé à actionnement manuel</t>
  </si>
  <si>
    <t>Manuel</t>
  </si>
  <si>
    <t>Terrain découvert, pas ou peu d'ombre projetée par des éléments extérieurs</t>
  </si>
  <si>
    <t>Ombragement moyen, angle d'ombragement entre 15° et 35°</t>
  </si>
  <si>
    <t>Emplacement en ville, ombragement important</t>
  </si>
  <si>
    <t>Donées des Fenêtres</t>
  </si>
  <si>
    <t>Part vitré
%</t>
  </si>
  <si>
    <t>Abrév.
-</t>
  </si>
  <si>
    <t>Désignation
-</t>
  </si>
  <si>
    <t>Hau-teur
m</t>
  </si>
  <si>
    <t>Transm. Vitrage
%</t>
  </si>
  <si>
    <t>Protéction solaire et ombrage</t>
  </si>
  <si>
    <t>Type
-</t>
  </si>
  <si>
    <t>Non</t>
  </si>
  <si>
    <t>Oui</t>
  </si>
  <si>
    <t>Strumento illuminazione naturale Minergie-Eco®</t>
  </si>
  <si>
    <t>Outil Lumière de Jour Minergie-Eco®</t>
  </si>
  <si>
    <t>Dati Ogetto</t>
  </si>
  <si>
    <t>Progetto</t>
  </si>
  <si>
    <t>Tipo d'intervento</t>
  </si>
  <si>
    <t>Architetto</t>
  </si>
  <si>
    <t>Prog. Imp. elettrico</t>
  </si>
  <si>
    <t>Prog. illuminotecnica</t>
  </si>
  <si>
    <t>Autore verifica</t>
  </si>
  <si>
    <t>Data</t>
  </si>
  <si>
    <t>Riassunto</t>
  </si>
  <si>
    <t>Superficie netta totale</t>
  </si>
  <si>
    <t>Superficie principale con valutazione insufficiente</t>
  </si>
  <si>
    <t>Le esigenze Minergie-Eco</t>
  </si>
  <si>
    <t>Procedimento</t>
  </si>
  <si>
    <t>Istruzioni dettagliate possono essere trovate sul sito web Minergie.</t>
  </si>
  <si>
    <t>Locali tipo e illuminazione naturale</t>
  </si>
  <si>
    <t>Locale Tipo</t>
  </si>
  <si>
    <t>Dati dello locale</t>
  </si>
  <si>
    <t>Finestre</t>
  </si>
  <si>
    <t>Tipo 1
-</t>
  </si>
  <si>
    <t>Tipo 2
-</t>
  </si>
  <si>
    <t>Tipo 3
-</t>
  </si>
  <si>
    <t>Tipo 4
-</t>
  </si>
  <si>
    <t>Risultati</t>
  </si>
  <si>
    <t>Les exigences de Minergie-Eco sont de (au total)</t>
  </si>
  <si>
    <t xml:space="preserve">Le esigenze per Minergie-Eco </t>
  </si>
  <si>
    <t>Daylight-Tool Minergie-Eco</t>
  </si>
  <si>
    <t>Object data</t>
  </si>
  <si>
    <t>Project</t>
  </si>
  <si>
    <t>Project type</t>
  </si>
  <si>
    <t>Costruttore</t>
  </si>
  <si>
    <t>Architect</t>
  </si>
  <si>
    <t>Electrical planner</t>
  </si>
  <si>
    <t>Lighting planner</t>
  </si>
  <si>
    <t>Overview</t>
  </si>
  <si>
    <t>Total floor area</t>
  </si>
  <si>
    <t>Floor area with insufficient result</t>
  </si>
  <si>
    <t xml:space="preserve">The requirements of Minergie-Eco are </t>
  </si>
  <si>
    <t>Quick guide</t>
  </si>
  <si>
    <t>Detailed instructions are available on the Minergie website</t>
  </si>
  <si>
    <t>Window data</t>
  </si>
  <si>
    <t>Key</t>
  </si>
  <si>
    <t>Description
-</t>
  </si>
  <si>
    <t>Length
-</t>
  </si>
  <si>
    <t>Height
-</t>
  </si>
  <si>
    <t>Glazing portion
%</t>
  </si>
  <si>
    <t>Transm. Glazing
%</t>
  </si>
  <si>
    <t>Height of lintel
m</t>
  </si>
  <si>
    <t>Projection
m</t>
  </si>
  <si>
    <t>Skylight
-</t>
  </si>
  <si>
    <t>Solar protection and shading</t>
  </si>
  <si>
    <t>Control
-</t>
  </si>
  <si>
    <t>Shading
-</t>
  </si>
  <si>
    <t>Profon-dità
m</t>
  </si>
  <si>
    <t>Coeff. di luminos.
%</t>
  </si>
  <si>
    <t>Distanza dal soffitto
m</t>
  </si>
  <si>
    <t>Protezione solare e ombreggiatura</t>
  </si>
  <si>
    <t>Tipo
-</t>
  </si>
  <si>
    <t>Controllo
-</t>
  </si>
  <si>
    <t>Room types and daylight</t>
  </si>
  <si>
    <t>Room types</t>
  </si>
  <si>
    <t>No.</t>
  </si>
  <si>
    <t>Room data</t>
  </si>
  <si>
    <t>Width
-</t>
  </si>
  <si>
    <t>Floor Area
m2</t>
  </si>
  <si>
    <t>Number
pcs</t>
  </si>
  <si>
    <t>Windows</t>
  </si>
  <si>
    <t>Results</t>
  </si>
  <si>
    <t>Questionario ammodernamento</t>
  </si>
  <si>
    <t>Domande</t>
  </si>
  <si>
    <t>Risposte</t>
  </si>
  <si>
    <t>Le aperture delle finestre sono generalmente mantenute o aumentate?</t>
  </si>
  <si>
    <t>Le superfici di vetro sono generalmente mantenute o aumentate?</t>
  </si>
  <si>
    <t>Il vetro scelto posside un fattore "g" alto?</t>
  </si>
  <si>
    <t>I locali sono dipinti con colori chiari?</t>
  </si>
  <si>
    <t>QUESTO FOGLIO DEVE ESSERE COMPLETATO UNICAMENTE IN CASO DI AMMODERNAMENTO</t>
  </si>
  <si>
    <t>Il requisito MINERGIE-ECO per ammodernamenti é automaticamente rispettato con un valore di rispetto pari al 50% (sufficiente), non è necessario effettuare calcoli piu dettagliati.</t>
  </si>
  <si>
    <t>Il requisito MINERGIE-ECO per ammodernamenti non é rispettato,  è necessario effettuare calcoli piu dettagliati (compilare il foglio calcolo illuminazione naturale).</t>
  </si>
  <si>
    <t>Abitativo</t>
  </si>
  <si>
    <t>Amministrativo</t>
  </si>
  <si>
    <t>Scuola</t>
  </si>
  <si>
    <t>Edificio con una piccola percentuale vetrata</t>
  </si>
  <si>
    <t>Edifico con una percentuale vetrata media</t>
  </si>
  <si>
    <t>Edificio con una grande percentuale vetrata</t>
  </si>
  <si>
    <t>Port. vetrata
%</t>
  </si>
  <si>
    <t xml:space="preserve">Portion of daylight autonomy (min. </t>
  </si>
  <si>
    <t>The requirements of Minergie-Eco are</t>
  </si>
  <si>
    <t>Questionnaire for renovations</t>
  </si>
  <si>
    <t>Question</t>
  </si>
  <si>
    <t>Answer</t>
  </si>
  <si>
    <t>The window openings are generally maintained or augmented</t>
  </si>
  <si>
    <t>The window areas are generally maintained or augmented</t>
  </si>
  <si>
    <t>The selected glazings have a high daylight transmission factor</t>
  </si>
  <si>
    <t>There are no new elements which lead to a shading of the facade</t>
  </si>
  <si>
    <t>The room surfaces are painted in light colour</t>
  </si>
  <si>
    <t>Summary</t>
  </si>
  <si>
    <t>THIS SHEET IS ONLY FOR RENOVATIONS</t>
  </si>
  <si>
    <t>The requirements of Minergie-Eco are not respected. A detailed calculation is mandatory.</t>
  </si>
  <si>
    <t>The requirements of Minergie-Eco are automatically respected with a daylight value of 50%. A more detailed calculation is not necessary.</t>
  </si>
  <si>
    <t>Dwelling</t>
  </si>
  <si>
    <t>Office</t>
  </si>
  <si>
    <t>School</t>
  </si>
  <si>
    <t>Building with a small portion of glazing</t>
  </si>
  <si>
    <t>Building with a medium portion of glazing</t>
  </si>
  <si>
    <t>Building with a high portion of glazing</t>
  </si>
  <si>
    <t>Soggiorno, camera</t>
  </si>
  <si>
    <t>Ricezione hotel/Lobby</t>
  </si>
  <si>
    <t>Camera d'hotel</t>
  </si>
  <si>
    <t>Singoli uffici  o uffici collettivi</t>
  </si>
  <si>
    <t>Open space</t>
  </si>
  <si>
    <t>Sala riunioni</t>
  </si>
  <si>
    <t>Sportello/Accettazione</t>
  </si>
  <si>
    <t>Aula docenti</t>
  </si>
  <si>
    <t>Aule</t>
  </si>
  <si>
    <t>Biblioteca</t>
  </si>
  <si>
    <t>Auditorio</t>
  </si>
  <si>
    <t>Aule speciali</t>
  </si>
  <si>
    <t>Commercio alimentari</t>
  </si>
  <si>
    <t>Commercio mobili, fai da te e giardino</t>
  </si>
  <si>
    <t>Ristorante</t>
  </si>
  <si>
    <t>Ristorante self-service</t>
  </si>
  <si>
    <t>Cucina ristorante</t>
  </si>
  <si>
    <t>Cucina ristorante self-service</t>
  </si>
  <si>
    <t>Sala per spettacoli</t>
  </si>
  <si>
    <t>Sala multiuso</t>
  </si>
  <si>
    <t>Sala espositiva</t>
  </si>
  <si>
    <t>Camere d'ospedale</t>
  </si>
  <si>
    <t>Sala infermieri</t>
  </si>
  <si>
    <t>Behandlungsraum (Spital)</t>
  </si>
  <si>
    <t>Produzione (lavori pesanti)</t>
  </si>
  <si>
    <t>Produzione (di precisione)</t>
  </si>
  <si>
    <t>Laboratorio</t>
  </si>
  <si>
    <t>Sala Fitness</t>
  </si>
  <si>
    <t>Commercio specializzato</t>
  </si>
  <si>
    <t>Cucina</t>
  </si>
  <si>
    <t>chiaro</t>
  </si>
  <si>
    <t>normale</t>
  </si>
  <si>
    <t>scuro</t>
  </si>
  <si>
    <t>non sono soddisfatte</t>
  </si>
  <si>
    <t>sono ampiamente soddisfatte</t>
  </si>
  <si>
    <t>sono soddisfatte</t>
  </si>
  <si>
    <t>Nuova Costruzione</t>
  </si>
  <si>
    <t>Ammodernamento</t>
  </si>
  <si>
    <t>Si</t>
  </si>
  <si>
    <t>No</t>
  </si>
  <si>
    <t>Manuale</t>
  </si>
  <si>
    <t>Exhibition Hall</t>
  </si>
  <si>
    <t>Medical Rooms</t>
  </si>
  <si>
    <t>Library</t>
  </si>
  <si>
    <t>Fitness Room</t>
  </si>
  <si>
    <t>Open Space Office</t>
  </si>
  <si>
    <t>Auditorium</t>
  </si>
  <si>
    <t>Reception, Lobby</t>
  </si>
  <si>
    <t>Hotel Room</t>
  </si>
  <si>
    <t>Kitchen for self-service Restaurant</t>
  </si>
  <si>
    <t>Kitchen for Restaurant</t>
  </si>
  <si>
    <t>Kitchen</t>
  </si>
  <si>
    <t>Laboratory</t>
  </si>
  <si>
    <t>Grocery Store</t>
  </si>
  <si>
    <t>Teacher's Room</t>
  </si>
  <si>
    <t>Production (precision work)</t>
  </si>
  <si>
    <t>Production (heavy work)</t>
  </si>
  <si>
    <t>Classroom</t>
  </si>
  <si>
    <t>Self-Service Restaurant</t>
  </si>
  <si>
    <t>Meeting Room</t>
  </si>
  <si>
    <t>light</t>
  </si>
  <si>
    <t>dark</t>
  </si>
  <si>
    <t>Manual</t>
  </si>
  <si>
    <t>Tabellennamen</t>
  </si>
  <si>
    <t>Überblick</t>
  </si>
  <si>
    <t>Tageslicht</t>
  </si>
  <si>
    <t>Résumé</t>
  </si>
  <si>
    <t>Daylight</t>
  </si>
  <si>
    <t>Yes</t>
  </si>
  <si>
    <t>Motorized with manual actuation</t>
  </si>
  <si>
    <t>Motorized with automatic actuation</t>
  </si>
  <si>
    <t>Motorized, automatic, shading taken into account</t>
  </si>
  <si>
    <t>Motorized, automatic, with positioning of blinds</t>
  </si>
  <si>
    <t>Situated in city, heavily shaded</t>
  </si>
  <si>
    <t>Medium shaded, shading angle between 15° and 35°</t>
  </si>
  <si>
    <t>Open field, no or few shading</t>
  </si>
  <si>
    <t>Lightly coloured blinds, with reflection system</t>
  </si>
  <si>
    <t>Lightly coloured blinds, without reflection system</t>
  </si>
  <si>
    <t>Medium light blinds or translucent fabric</t>
  </si>
  <si>
    <t>Dark blinds or dense fabric</t>
  </si>
  <si>
    <t>Non translucent solar protection</t>
  </si>
  <si>
    <t>Lamelle chiare con sistema di riflessione</t>
  </si>
  <si>
    <t>Lamelle chiare senza sistema di riflessione</t>
  </si>
  <si>
    <t>Motorizzato, automatico</t>
  </si>
  <si>
    <t>Situato in città, ombraggiamento importante</t>
  </si>
  <si>
    <t>Author of verification</t>
  </si>
  <si>
    <t>Eingabemeldungen</t>
  </si>
  <si>
    <t>Wert1</t>
  </si>
  <si>
    <t>Wert2</t>
  </si>
  <si>
    <t>Wert3</t>
  </si>
  <si>
    <t>Wert4</t>
  </si>
  <si>
    <t>Report des autres feuilles</t>
  </si>
  <si>
    <t>Report from other calculations</t>
  </si>
  <si>
    <t>Total Floor Area</t>
  </si>
  <si>
    <t>Surface nette</t>
  </si>
  <si>
    <t>Resultat</t>
  </si>
  <si>
    <t>Résultat</t>
  </si>
  <si>
    <t>Risultato</t>
  </si>
  <si>
    <t>Result</t>
  </si>
  <si>
    <t>Fläche</t>
  </si>
  <si>
    <t>Résultats de cette feuille</t>
  </si>
  <si>
    <t>Results from this sheet</t>
  </si>
  <si>
    <t>Déscription</t>
  </si>
  <si>
    <t>Descrizione</t>
  </si>
  <si>
    <t>Description</t>
  </si>
  <si>
    <t>Gesamtresultat</t>
  </si>
  <si>
    <t>Résultats globales</t>
  </si>
  <si>
    <t>Risultati globali</t>
  </si>
  <si>
    <t>Total of Results</t>
  </si>
  <si>
    <t>B36</t>
  </si>
  <si>
    <t>F36</t>
  </si>
  <si>
    <t>J36</t>
  </si>
  <si>
    <t>N36</t>
  </si>
  <si>
    <t>B37</t>
  </si>
  <si>
    <t>F37</t>
  </si>
  <si>
    <t>H37</t>
  </si>
  <si>
    <t>N37</t>
  </si>
  <si>
    <t>J37</t>
  </si>
  <si>
    <t>L37</t>
  </si>
  <si>
    <t>P37</t>
  </si>
  <si>
    <t>B38</t>
  </si>
  <si>
    <t>B39</t>
  </si>
  <si>
    <t>B40</t>
  </si>
  <si>
    <t>Wählen Sie einen Eintrag aus der Liste, welcher der Raumnutzung am besten entspricht. Räume der Nebennutzung sind nicht zu erfassen.</t>
  </si>
  <si>
    <t>Geben Sie hier die Raumbezeichnung ein. Räume der Nebennutzung sind nicht zu erfassen.</t>
  </si>
  <si>
    <t>Länge</t>
  </si>
  <si>
    <t>Geben Sie die Raumabmessungen ein.</t>
  </si>
  <si>
    <t>Tiefe</t>
  </si>
  <si>
    <t>Geben Sie die lichte Raumhöhe ein. Falls der Raum verschiedene Raumhöhen aufweist, mitteln Sie die Höhe oder erfassen Sie die Bereiche separat.</t>
  </si>
  <si>
    <t>Falls die Fläche nicht der Multiplikation von Länge und Breite entspricht, geben Sie diese hier ein, ansonsten leer lassen.</t>
  </si>
  <si>
    <t>Geben Sie die Gesamtanzahl dieses Raumtyps im Gebäude ein.</t>
  </si>
  <si>
    <t xml:space="preserve">Wählen Sie einen Eintrag aus der Liste. </t>
  </si>
  <si>
    <t>Fenstertyp</t>
  </si>
  <si>
    <t>Tabelle</t>
  </si>
  <si>
    <t>Adresse</t>
  </si>
  <si>
    <t>B5:B34</t>
  </si>
  <si>
    <t>C5:C34</t>
  </si>
  <si>
    <t>D5:D34</t>
  </si>
  <si>
    <t>E5:E34</t>
  </si>
  <si>
    <t>F5:F34</t>
  </si>
  <si>
    <t>G5:G34</t>
  </si>
  <si>
    <t>H5:H34</t>
  </si>
  <si>
    <t>I5:I34</t>
  </si>
  <si>
    <t>J5:J34</t>
  </si>
  <si>
    <t>K5:K34</t>
  </si>
  <si>
    <t>L5:L34</t>
  </si>
  <si>
    <t>M5:M34</t>
  </si>
  <si>
    <t>Resultate aus diesem Blatt</t>
  </si>
  <si>
    <t>Übertrag aus anderen Blättern</t>
  </si>
  <si>
    <t>Fehler</t>
  </si>
  <si>
    <t>Bitte in diesem Feld nur Text erfassen.</t>
  </si>
  <si>
    <t>Sie müssen Werte zwischen 0 und 9999 eingeben.</t>
  </si>
  <si>
    <t>Sie müssen ganzzahlige Werte zwischen 0 und 999 eingeben.</t>
  </si>
  <si>
    <t>Geben Sie die Gesamtanzahl dieses Fenstertyps ein.</t>
  </si>
  <si>
    <t>N5:N34</t>
  </si>
  <si>
    <t>O5:O34</t>
  </si>
  <si>
    <t>P5:P34</t>
  </si>
  <si>
    <t>Q5:Q34</t>
  </si>
  <si>
    <t>Bewertungsskala Sanierung</t>
  </si>
  <si>
    <t>B5:B39</t>
  </si>
  <si>
    <t>C5:C39</t>
  </si>
  <si>
    <t>D5:D39</t>
  </si>
  <si>
    <t>E5:E39</t>
  </si>
  <si>
    <t>F5:F39</t>
  </si>
  <si>
    <t>G5:G39</t>
  </si>
  <si>
    <t>Bitte geben Sie eine Kurzbezeichnung ein (max. 4 Zeichen)</t>
  </si>
  <si>
    <t>Glasanteil</t>
  </si>
  <si>
    <t>Sturzhöhe</t>
  </si>
  <si>
    <t>Auskragung</t>
  </si>
  <si>
    <t>H5:H39</t>
  </si>
  <si>
    <t>I5:I39</t>
  </si>
  <si>
    <t>J5:J39</t>
  </si>
  <si>
    <t>K5:K39</t>
  </si>
  <si>
    <t>L5:L39</t>
  </si>
  <si>
    <t>M5:M39</t>
  </si>
  <si>
    <t>Oberlicht</t>
  </si>
  <si>
    <t>Sonnenschutz-Typ</t>
  </si>
  <si>
    <t>Bitte geben Sie eine Bezeichnung für das Fenster ein</t>
  </si>
  <si>
    <t>Sie dürfen nur maximal 4 Zeichen eingeben.</t>
  </si>
  <si>
    <t>Sie dürfen nur maximal 25 Zeichen eingeben.</t>
  </si>
  <si>
    <t>Sie müssen Werte zwischen 0 und 999 eingeben.</t>
  </si>
  <si>
    <t>Sie müssen Werte zwischen 0% und 100% eingeben.</t>
  </si>
  <si>
    <t>Sie müssen Werte zwischen 0 und 99 eingeben.</t>
  </si>
  <si>
    <t>Geben Sie die Breite des Fensters (Öffnungslichtmass) ein.</t>
  </si>
  <si>
    <t>Geben Sie die Höhe des Fensters (Öffnungslichtmass) ein.</t>
  </si>
  <si>
    <t>Geben Sie den Flächenanteil des Glases am Öffnungslichtmass ein.</t>
  </si>
  <si>
    <t>Geben Sie den Wert für die Tageslicht-Transmission des Glases ein. 
Achtung: bei vor dem Fenster angeordneten Gläsern (Kastenfenster, Doppelfassaden etc.) ist der Tau-Wert der Verglasungen zu multiplizieren.</t>
  </si>
  <si>
    <t>Geben Sie den Abstand zwischen Decke und Verglasung ein.</t>
  </si>
  <si>
    <t>Geben Sie den horizontalen Abstand zwischen Fenster und Vorderkante der Auskragung ein.</t>
  </si>
  <si>
    <t>Wählen Sie Ja, wenn das Fenster im Dach angeordnet ist (Neigung 0° bis 45° aus der Horizontalen)</t>
  </si>
  <si>
    <t>Wählen Sie den am besten zutreffenden Sonnenschutz-Typ aus der Liste.</t>
  </si>
  <si>
    <t>Wählen Sie den am besten zutreffenden Steuerungs-Typ aus der Liste.</t>
  </si>
  <si>
    <t>Wählen Sie die am besten zutreffende Situation der Fassade, in der das Fenster platziert ist.</t>
  </si>
  <si>
    <t>Hospital room</t>
  </si>
  <si>
    <t>Specialty Store</t>
  </si>
  <si>
    <t>Multi-purpose Hall</t>
  </si>
  <si>
    <t>Counter area, Lobby</t>
  </si>
  <si>
    <t>Specialty Classroom</t>
  </si>
  <si>
    <t>Nurse room</t>
  </si>
  <si>
    <t>Furniture, Hardware, Gardening Store</t>
  </si>
  <si>
    <t>Presentation room</t>
  </si>
  <si>
    <t>Living Room, Bedroom</t>
  </si>
  <si>
    <t>Abbréviation</t>
  </si>
  <si>
    <t>Bitte beachten Sie die beim Anklicken der Eingabefelder erscheinenden Hilfstexte.</t>
  </si>
  <si>
    <t>Bei Fragen zu Zertifizierungsobjekten steht Ihnen die zuständige Zertifizierungsstelle gerne zur Verfügung.</t>
  </si>
  <si>
    <t>Erfassen Sie zuerst die Objektdaten in diesem Blatt.</t>
  </si>
  <si>
    <t>Abbreviazioni</t>
  </si>
  <si>
    <t>Immettere un nome breve (max. 4 caratteri)</t>
  </si>
  <si>
    <t>Errore</t>
  </si>
  <si>
    <t>È possibile immettere solo un massimo di 4 caratteri.</t>
  </si>
  <si>
    <t>Denominazione</t>
  </si>
  <si>
    <t>Inserisci un nome per la finestra</t>
  </si>
  <si>
    <t>È possibile immettere al massimo 25 caratteri.</t>
  </si>
  <si>
    <t>Larghezza</t>
  </si>
  <si>
    <t>Immettere la larghezza della finestra (misura in luce).</t>
  </si>
  <si>
    <t>È necessario immettere valori compresi tra 0 e 9999.</t>
  </si>
  <si>
    <t>Altezza</t>
  </si>
  <si>
    <t>Immettere la altezza della finestra (misura in luce).</t>
  </si>
  <si>
    <t>Porzione di vetro</t>
  </si>
  <si>
    <t>Inserire la porzione di vetro rispetto al vano della finestra</t>
  </si>
  <si>
    <t>È necessario immettere valori compresi tra 0% e 100%.</t>
  </si>
  <si>
    <t>Coeff. luminosità</t>
  </si>
  <si>
    <t>Immettere il coefficiente di luminosità del vetro. _x000D_
Attenzione: nel caso di vetrate disposte davanti alla finestra (giardino d'inverno, doppie facciate, ecc.) moltiplicare per il coefficiente di luminosità della vetrata.</t>
  </si>
  <si>
    <t>Architrave</t>
  </si>
  <si>
    <t>Inserire la distanza tra soffitto e vetrate.</t>
  </si>
  <si>
    <t>Aggetto</t>
  </si>
  <si>
    <t>Inserire la distanza orizzontale tra la finestra e il bordo anteriore della sporgenza.</t>
  </si>
  <si>
    <t>Lucernari</t>
  </si>
  <si>
    <t>Selezionare Sì se la finestra è posizionata nel tetto (angolo da 0° a 45° rispetto all' orizzontale)</t>
  </si>
  <si>
    <t>È necessario selezionare una voce dall' elenco.</t>
  </si>
  <si>
    <t>Protezione solare tipo</t>
  </si>
  <si>
    <t>Selezionare il tipo di protezione solare più appropriato dall' elenco.</t>
  </si>
  <si>
    <t>Controllo</t>
  </si>
  <si>
    <t>Selezionare il tipo di controllo più appropriato dall' elenco.</t>
  </si>
  <si>
    <t>Ombreggiamento</t>
  </si>
  <si>
    <t>Selezionare la situazione più appropriata della facciata in cui è collocata la finestra.</t>
  </si>
  <si>
    <t>Locale tipo</t>
  </si>
  <si>
    <t>Immettere qui il nome del locale. I locali secondari non devono essere registrati.</t>
  </si>
  <si>
    <t>Inserisci solo testo in questo campo.</t>
  </si>
  <si>
    <t>Uso principale</t>
  </si>
  <si>
    <t>Selezionare una voce dall' elenco che meglio corrisponde all' utilizzo della stanza. I locali secondari non devono essere registrati.</t>
  </si>
  <si>
    <t>Immettere le dimensioni del locale.</t>
  </si>
  <si>
    <t>Profondità</t>
  </si>
  <si>
    <t>Immettere l' altezza in luce. Se il locale ha altezze diverse, inserire l'altezza media o inserire le aree separatamente.</t>
  </si>
  <si>
    <t>Superficie</t>
  </si>
  <si>
    <t>Se l' area non corrisponde alla moltiplicazione tra la larghezza e la profondità, inserirla qui, altrimenti lasciare in bianco.</t>
  </si>
  <si>
    <t>Numero</t>
  </si>
  <si>
    <t>Immettere il numero totale di questo tipo di locale nell' edificio.</t>
  </si>
  <si>
    <t>È necessario immettere valori interi compresi tra 0 e 999.</t>
  </si>
  <si>
    <t>Riflessione della stanza</t>
  </si>
  <si>
    <t>Selezionare una voce dall' elenco.</t>
  </si>
  <si>
    <t>Finestra Tipo</t>
  </si>
  <si>
    <t>Selezionare uno dei tipi di finestra registrati nel foglio "Finestra".</t>
  </si>
  <si>
    <t>Immettere il numero totale di questo tipo di finestra.</t>
  </si>
  <si>
    <t>Dati di Finestre</t>
  </si>
  <si>
    <t>Quantità
n.</t>
  </si>
  <si>
    <t>Qantità
n.</t>
  </si>
  <si>
    <t>Risultati di questo foglio</t>
  </si>
  <si>
    <t>Riporto da altri fogli</t>
  </si>
  <si>
    <t>Quota d'illuminazione naturale (min.)</t>
  </si>
  <si>
    <t>Locale medico</t>
  </si>
  <si>
    <t>Lamelle media chiare o tenda traslucida</t>
  </si>
  <si>
    <t>Lamelle scure o tenda poco traslucida</t>
  </si>
  <si>
    <t>tenda non traslucida</t>
  </si>
  <si>
    <t>Motorizzato, automatico con guida per le lamelle</t>
  </si>
  <si>
    <t>Motorizzato, automatico, tenendo conto degli ombrggiamenti</t>
  </si>
  <si>
    <t>Motorizzato,  manuale</t>
  </si>
  <si>
    <t>Terreno aperto, o poco ombraggiamento</t>
  </si>
  <si>
    <t>Ombraggiamento medio, angolo d'ombraggiamento tra i 15° e i 35°</t>
  </si>
  <si>
    <t>Sporgenza
m</t>
  </si>
  <si>
    <t>Larghe-zza
m</t>
  </si>
  <si>
    <t>Lucernari
-</t>
  </si>
  <si>
    <t>Ombreggiatura
-</t>
  </si>
  <si>
    <t>Abbrev.
-</t>
  </si>
  <si>
    <t>Descrizione
-</t>
  </si>
  <si>
    <t>Alte-zza
m</t>
  </si>
  <si>
    <t>Raumbezeichnung
-</t>
  </si>
  <si>
    <t>Désignation du local
-</t>
  </si>
  <si>
    <t>Designazione locale
-</t>
  </si>
  <si>
    <t>Room description
-</t>
  </si>
  <si>
    <t>Superfi-cie
m2</t>
  </si>
  <si>
    <t>Nr.
-</t>
  </si>
  <si>
    <t>Utilizzo
-</t>
  </si>
  <si>
    <t>Riflessi-one
-</t>
  </si>
  <si>
    <t>Immettere prima i dati dell’oggetto in questa scheda.</t>
  </si>
  <si>
    <t>Si prega di leggere gli aiuti che appaiono quando si clicca su un camp di immissione.</t>
  </si>
  <si>
    <t>Se avete domande sugli oggetti di certificazione, contattate il centro di certificazione competente.</t>
  </si>
  <si>
    <t>First, fill out the fileds for the object data in this sheet.</t>
  </si>
  <si>
    <t>Please consider the help texts which appear as soon as you click on a cell.</t>
  </si>
  <si>
    <t>If you have questions on certified objects, don't hesitate to ask the staff of the certification offices.</t>
  </si>
  <si>
    <t>Quota di superficie con un risultato insufficiente (max.</t>
  </si>
  <si>
    <t xml:space="preserve">Portion of floor area with insufficient daylight (max. </t>
  </si>
  <si>
    <t>#
-</t>
  </si>
  <si>
    <t>Key
-</t>
  </si>
  <si>
    <t>Room reflection
-</t>
  </si>
  <si>
    <t>Usage
-</t>
  </si>
  <si>
    <t>Auswahl Hauptnutzung
-</t>
  </si>
  <si>
    <t>Affectation standard
-</t>
  </si>
  <si>
    <t>Error</t>
  </si>
  <si>
    <t>You must not enter more than 4 characters.</t>
  </si>
  <si>
    <t>Please enter a description for the window.</t>
  </si>
  <si>
    <t>You must not enter more than 25 characters.</t>
  </si>
  <si>
    <t>Width</t>
  </si>
  <si>
    <t>Please enter the width of the window.</t>
  </si>
  <si>
    <t>You must enter values between 0 and 999.</t>
  </si>
  <si>
    <t>You must enter values between 0 and 99.</t>
  </si>
  <si>
    <t>You must enter values between 0% and 100%.</t>
  </si>
  <si>
    <t>Please enter the distance between glazing and cieling.</t>
  </si>
  <si>
    <t>Height of lintel</t>
  </si>
  <si>
    <t>Height</t>
  </si>
  <si>
    <t>Please enter the height of the window</t>
  </si>
  <si>
    <t>Glazing portion</t>
  </si>
  <si>
    <t xml:space="preserve">Please enter the portion of the glazing. </t>
  </si>
  <si>
    <t>Daylight transmission</t>
  </si>
  <si>
    <t>Please enter the value for the daylight transmission of the glazing.</t>
  </si>
  <si>
    <t>Skylight</t>
  </si>
  <si>
    <t>Choose Yes if the window is positioned in the roof.</t>
  </si>
  <si>
    <t>You must choose an entry from the list.</t>
  </si>
  <si>
    <t>Projection</t>
  </si>
  <si>
    <t>Please enter the horizontal distance between window and edge of projection.</t>
  </si>
  <si>
    <r>
      <t>Volllaststd. T</t>
    </r>
    <r>
      <rPr>
        <vertAlign val="subscript"/>
        <sz val="10"/>
        <color indexed="9"/>
        <rFont val="Arial"/>
        <family val="2"/>
      </rPr>
      <t>L,11</t>
    </r>
  </si>
  <si>
    <t>Password</t>
  </si>
  <si>
    <t>Sprachwahl</t>
  </si>
  <si>
    <t>Illuminazione_naturale</t>
  </si>
  <si>
    <t>Lumière_du_jour</t>
  </si>
  <si>
    <t>Saisissez d'abord les données du projet dans cette feuille.</t>
  </si>
  <si>
    <t>Des textes d'aide apparaissent lorsque vous cliquez sur les zones de saisie.</t>
  </si>
  <si>
    <t>Si vous avez des questions concernant la certification, veuillez contacter l'office de certification correspondant.</t>
  </si>
  <si>
    <t>Veuillez saisir un nom court (max. 4 caractères)</t>
  </si>
  <si>
    <t>Erreur</t>
  </si>
  <si>
    <t>Vous ne pouvez saisir que 4 caractères au maximum.</t>
  </si>
  <si>
    <t>Désignation</t>
  </si>
  <si>
    <t>Veuillez saisir un nom pour la fenêtre</t>
  </si>
  <si>
    <t>Vous ne pouvez saisir que 25 caractères au maximum.</t>
  </si>
  <si>
    <t>Largeur</t>
  </si>
  <si>
    <t>Entrez la largeur de la fenêtre (vide de maçonnerie).</t>
  </si>
  <si>
    <t>Vous devez saisir des valeurs entre 0 et 999.</t>
  </si>
  <si>
    <t>Hauteur</t>
  </si>
  <si>
    <t>Entrez la hauteur de la fenêtre (vide de maçonnerie).</t>
  </si>
  <si>
    <t>Pourcentage de surface vitrée</t>
  </si>
  <si>
    <t>Entrez le pourcentage de surface vitrée.</t>
  </si>
  <si>
    <t>Vous devez saisir des valeurs entre 0% et 100%.</t>
  </si>
  <si>
    <t xml:space="preserve">Entrez la valeur de transmission lumineuse de la vitre. 
Attention: dans le cas d'un autre vitrage disposé devant la fenêtre (fenêtres à caisson, double façades, etc.), la valeur Tau sera a multiplier en conséquence. </t>
  </si>
  <si>
    <t>Linteau</t>
  </si>
  <si>
    <t>Entrez la distance entre le plafond et le vitrage.</t>
  </si>
  <si>
    <t>Vous devez saisir des valeurs entre 0 et 99.</t>
  </si>
  <si>
    <t>Porte-à-faux</t>
  </si>
  <si>
    <t>Entrez la distance horizontale entre la fenêtre et le bord avant du porte-à-faux.</t>
  </si>
  <si>
    <t>Lumière zenithale</t>
  </si>
  <si>
    <t>Sélectionnez 'Oui' si la fenêtre est placée au plafond (angle de 0° à 45° par rapport à l'horizontale)</t>
  </si>
  <si>
    <t>Vous devez sélectionner un élément de la liste.</t>
  </si>
  <si>
    <t>Type de protection solaire</t>
  </si>
  <si>
    <t>Sélectionnez le type de protection solaire qui correspond le mieux dans la liste.</t>
  </si>
  <si>
    <t>Commande</t>
  </si>
  <si>
    <t>Sélectionnez le type de commande qui correspond le mieux dans la liste.</t>
  </si>
  <si>
    <t>Ombrage</t>
  </si>
  <si>
    <t>Sélectionnez la situation de la façade dans laquelle la fenêtre est placée qui correspond le mieux.</t>
  </si>
  <si>
    <t>Local typique</t>
  </si>
  <si>
    <t xml:space="preserve">Entrez la description du local ici. Les locaux d'utilisation secondaire ne doivent pas être saisis.
</t>
  </si>
  <si>
    <t>Veuillez saisir uniquement du texte dans cette cellule.</t>
  </si>
  <si>
    <t>Utilisation principale</t>
  </si>
  <si>
    <t>Sélectionnez un élément de la liste qui correspond le mieux à l'utilisation du local. Les locaux d'utilisation secondaire ne doivent pas être saisis.</t>
  </si>
  <si>
    <t>Longueur</t>
  </si>
  <si>
    <t>Entrez les dimensions du local.</t>
  </si>
  <si>
    <t>Vous devez saisir des valeurs entre 0 et 9999.</t>
  </si>
  <si>
    <t>Profondeur</t>
  </si>
  <si>
    <t>Entrez la hauteur libre. Si le local a plusieurs hauteurs, faites la moyenne des hauteurs ou saisissez des zones séparément.</t>
  </si>
  <si>
    <t>Surface</t>
  </si>
  <si>
    <t>Si la surface ne correspond pas à la multiplication de la longueur et de la largeur, saisissez-la ici, sinon laisser vide.</t>
  </si>
  <si>
    <t>Nombre</t>
  </si>
  <si>
    <t>Entrez les nombre de locaux de ce type.</t>
  </si>
  <si>
    <t>Vous devez saisir des valeurs entières entre 0 et 999.</t>
  </si>
  <si>
    <t>Réflexion du local</t>
  </si>
  <si>
    <t>Sélectionnez un élément de la liste.</t>
  </si>
  <si>
    <t>Type de fenêtre</t>
  </si>
  <si>
    <t>Choisissez un des type de fenêtres saisi dans la feuille 'Fenster'.</t>
  </si>
  <si>
    <t>Entrez le nombre de fenêtres de ce type.</t>
  </si>
  <si>
    <t>Res.</t>
  </si>
  <si>
    <t>R3</t>
  </si>
  <si>
    <t>Rés.</t>
  </si>
  <si>
    <t>Ris.</t>
  </si>
  <si>
    <t>R4</t>
  </si>
  <si>
    <t>Erf. Grad
%</t>
  </si>
  <si>
    <t>Degré lum.
%</t>
  </si>
  <si>
    <t>Quota illum.
%</t>
  </si>
  <si>
    <t>Gesamtfläche</t>
  </si>
  <si>
    <t>Superficie netto</t>
  </si>
  <si>
    <t>Gebäudekategorie (Auswahl durch Anklicken der entsprechenden Schaltfläche)</t>
  </si>
  <si>
    <t>Catégorie de bâtiments (cliquez le bouton)</t>
  </si>
  <si>
    <t>Building categories (click on the button)</t>
  </si>
  <si>
    <t>Categorie degli edifici (cliccare su tasto)</t>
  </si>
  <si>
    <t>È necessario immettere valori compresi tra 0 e 999.</t>
  </si>
  <si>
    <t>È necessario immettere valori compresi tra 0 e 99.</t>
  </si>
  <si>
    <t>Length</t>
  </si>
  <si>
    <t>Enter the room dimensions.</t>
  </si>
  <si>
    <t>Please use this field only for text.</t>
  </si>
  <si>
    <t>Main usage</t>
  </si>
  <si>
    <t>Select an element from the list.</t>
  </si>
  <si>
    <t>You must select an element from the list.</t>
  </si>
  <si>
    <t>Window type</t>
  </si>
  <si>
    <t>Select one of the windows types from the list.</t>
  </si>
  <si>
    <t>Room surface reflection</t>
  </si>
  <si>
    <t>Number</t>
  </si>
  <si>
    <t>Area</t>
  </si>
  <si>
    <t>Depth</t>
  </si>
  <si>
    <t>Typical room</t>
  </si>
  <si>
    <t>Shading</t>
  </si>
  <si>
    <t>Enter a room description.</t>
  </si>
  <si>
    <t>You must enetr values between 0 and 9999</t>
  </si>
  <si>
    <t>Enter the total number of this room type.</t>
  </si>
  <si>
    <t>You must enter values between -99 and 999</t>
  </si>
  <si>
    <t>Sie müssen Werte zwischen -99 und 999 eingeben.</t>
  </si>
  <si>
    <t>Vous devez saisir des valeurs entre -99 et 999.</t>
  </si>
  <si>
    <t>È necessario immettere valori compresi tra -99 e 999.</t>
  </si>
  <si>
    <t>Enter the number of windows.</t>
  </si>
  <si>
    <t>Solar protection</t>
  </si>
  <si>
    <t>Select the appropriate type of solar protection from the list.</t>
  </si>
  <si>
    <t>Control</t>
  </si>
  <si>
    <t>Select the appropriate Type of control from the list.</t>
  </si>
  <si>
    <t>Select the appropriate situation from the list.</t>
  </si>
  <si>
    <t>Please enter an easy to remember Code (max. 4 characters)</t>
  </si>
  <si>
    <t>Non sono previsti nuovi elementi che ombreggiano la facciata (es. balconi, gronde, sporgenze…) ?</t>
  </si>
  <si>
    <t>well fulfilled</t>
  </si>
  <si>
    <t>fulfilled</t>
  </si>
  <si>
    <t>not met</t>
  </si>
  <si>
    <t>Fragenkatalog_Modernisierung</t>
  </si>
  <si>
    <t>Questionnaire_rénovation</t>
  </si>
  <si>
    <t>Questionario_ammodernamento</t>
  </si>
  <si>
    <t>Questionaire_renovations</t>
  </si>
  <si>
    <t>Dayl. auton.
%</t>
  </si>
  <si>
    <t>Fenster-breite ges. m</t>
  </si>
  <si>
    <t>Tiefe genutzter Bereich 
m</t>
  </si>
  <si>
    <t>Sichtebene</t>
  </si>
  <si>
    <t>Sichtebenen
-</t>
  </si>
  <si>
    <t>Aussichtsebene</t>
  </si>
  <si>
    <t>Landschaft und Boden</t>
  </si>
  <si>
    <t>Landschaft und Himmel</t>
  </si>
  <si>
    <t>Landschaft, Boden und Himmel</t>
  </si>
  <si>
    <t>Nur Landschaft</t>
  </si>
  <si>
    <t>Nur Boden</t>
  </si>
  <si>
    <t>Nur Himmel</t>
  </si>
  <si>
    <t>Boden und Himmel</t>
  </si>
  <si>
    <t>Ergebnis
-</t>
  </si>
  <si>
    <t>Sichtwinkel
°</t>
  </si>
  <si>
    <t>Sichtweite
m</t>
  </si>
  <si>
    <t>Ergebnis
Punkte</t>
  </si>
  <si>
    <t>Fensterbreite ges.
m</t>
  </si>
  <si>
    <t>Tabelle Ausblick</t>
  </si>
  <si>
    <t>Only landscape</t>
  </si>
  <si>
    <t>Landscape and sky</t>
  </si>
  <si>
    <t>Only sky</t>
  </si>
  <si>
    <t>Paysage et ciel</t>
  </si>
  <si>
    <t>Seul ciel</t>
  </si>
  <si>
    <t>Seul paysage</t>
  </si>
  <si>
    <t>Solo paesaggio</t>
  </si>
  <si>
    <t>Paesaggio e cielo</t>
  </si>
  <si>
    <t>Solo cielo</t>
  </si>
  <si>
    <t>Paesaggio e terra</t>
  </si>
  <si>
    <t>Paesaggio, terra e cielo</t>
  </si>
  <si>
    <t>Solo terra</t>
  </si>
  <si>
    <t>terra e cielo</t>
  </si>
  <si>
    <t>Paysage et terre</t>
  </si>
  <si>
    <t>Paysage, terre et ciel</t>
  </si>
  <si>
    <t>Seul terre</t>
  </si>
  <si>
    <t>terre et ciel</t>
  </si>
  <si>
    <t>Landscape and ground</t>
  </si>
  <si>
    <t>Landscape, ground and sky</t>
  </si>
  <si>
    <t>Only ground</t>
  </si>
  <si>
    <t>ground and sky</t>
  </si>
  <si>
    <t>Typische Räume und Ausblick</t>
  </si>
  <si>
    <t>Locaux types et perspectives</t>
  </si>
  <si>
    <t>Room types and views</t>
  </si>
  <si>
    <t>Locali tipo e prospettive</t>
  </si>
  <si>
    <t>Profondità dell'area usata</t>
  </si>
  <si>
    <t>Profondità dell'area usata
m</t>
  </si>
  <si>
    <t>Depth of used area</t>
  </si>
  <si>
    <t>Depth of used area
m</t>
  </si>
  <si>
    <t>Profondeur de la surface utilisée
m</t>
  </si>
  <si>
    <t>Visual range</t>
  </si>
  <si>
    <t>Portée visuelle</t>
  </si>
  <si>
    <t>Raggio visivo</t>
  </si>
  <si>
    <t>Portée visuelle
m</t>
  </si>
  <si>
    <t>Raggio visivo
m</t>
  </si>
  <si>
    <t>Visual range
m</t>
  </si>
  <si>
    <t>Livelli di visione
-</t>
  </si>
  <si>
    <t>Viewing levels
-</t>
  </si>
  <si>
    <t>Qualité de la vue (dans toutes les locaux)</t>
  </si>
  <si>
    <t>Qualität des Ausblicks (über alle Räume)</t>
  </si>
  <si>
    <t>Qualità della vista (in tutte le locali)</t>
  </si>
  <si>
    <t>Quality of views (in all rooms)</t>
  </si>
  <si>
    <t>C3</t>
  </si>
  <si>
    <t>Resultat
-</t>
  </si>
  <si>
    <t>Résultat
-</t>
  </si>
  <si>
    <t>Risultato
-</t>
  </si>
  <si>
    <t>Result
-</t>
  </si>
  <si>
    <t>Raumfläche total
m2</t>
  </si>
  <si>
    <t>Ausblickqualitaet</t>
  </si>
  <si>
    <t>Hoch</t>
  </si>
  <si>
    <t>Mittel</t>
  </si>
  <si>
    <t>Minimum</t>
  </si>
  <si>
    <t>High</t>
  </si>
  <si>
    <t>Medium</t>
  </si>
  <si>
    <t>Alto</t>
  </si>
  <si>
    <t>Minimo</t>
  </si>
  <si>
    <t>Haut</t>
  </si>
  <si>
    <t>Moyenne</t>
  </si>
  <si>
    <t>Media</t>
  </si>
  <si>
    <t>Insufficiente</t>
  </si>
  <si>
    <t>Insufficient</t>
  </si>
  <si>
    <t>Insuffisant</t>
  </si>
  <si>
    <t>E36</t>
  </si>
  <si>
    <t>E37</t>
  </si>
  <si>
    <t>G37</t>
  </si>
  <si>
    <t>C36</t>
  </si>
  <si>
    <t>G36</t>
  </si>
  <si>
    <t>C37</t>
  </si>
  <si>
    <t>D37</t>
  </si>
  <si>
    <t>Aussichtsqualität</t>
  </si>
  <si>
    <t>Resultat
Pt.</t>
  </si>
  <si>
    <t>Résultat
Pt.</t>
  </si>
  <si>
    <t>Risultato
Pt.</t>
  </si>
  <si>
    <t>Result
Pt.</t>
  </si>
  <si>
    <t>Tiefe genutzter Bereich</t>
  </si>
  <si>
    <t>Geben Sie die Tiefe der von Personen dauernd genutzten Bereiche (gemessen ab Fassade) ein.</t>
  </si>
  <si>
    <t>Sichtweite</t>
  </si>
  <si>
    <t>Geben Sie den Abstand zum nächsten Objekt (gemessen ab Fassade) ein.</t>
  </si>
  <si>
    <t>Sie müssen ganzzahlige Werte zwischen 0 und 9999 eingeben.</t>
  </si>
  <si>
    <t>Wählen Sie die vom entferntesten Punkt aus in einer Höhe von 1.2 Meter (sitzende Tätigkeit) bzw. 1.7 Meter (stehende Tätigkeit) beim Blick durchs Fenster sichtbaren Ebenen.</t>
  </si>
  <si>
    <t>Niveaux de vision
-</t>
  </si>
  <si>
    <t>Niveaux de vision</t>
  </si>
  <si>
    <t>Livelli di visione</t>
  </si>
  <si>
    <t>Viewing levels</t>
  </si>
  <si>
    <t>Enter the distance to the next object (measured from the facade).</t>
  </si>
  <si>
    <t>Saisissez la distance jusqu'à l'objet suivant (mesurée à partir de la façade).</t>
  </si>
  <si>
    <t>Immettere la distanza dall'oggetto successivo (misurata dalla facciata).</t>
  </si>
  <si>
    <t>You must enter integer values between 0 and 999.</t>
  </si>
  <si>
    <t>Immettere la profondità delle aree utilizzate in permanenza dalle persone (misurata dalla facciata).</t>
  </si>
  <si>
    <t>Entrez la profondeur des zones utilisées en permanence par les personnes (mesurée à partir de la façade).</t>
  </si>
  <si>
    <t>Enter the depth of the areas permanently used by people (measured from the façade).</t>
  </si>
  <si>
    <t>Select the planes visible from the furthest point at a height of 1.2 metres (sitting activity) or 1.7 metres (standing activity) when looking through the window.</t>
  </si>
  <si>
    <t>Selezionare i livelli visibili dal punto più lontano ad un'altezza di 1,2 metri (attività da seduti) o 1,7 metri (attività in piedi) quando si guarda attraverso la finestra.</t>
  </si>
  <si>
    <t>Sélectionnez les niveaux visibles du point le plus éloigné à une hauteur de 1,2 mètre (activité assise) ou de 1,7 mètre (activité debout) lorsque vous regardez par la fenêtre.</t>
  </si>
  <si>
    <t>Zusammenfassung der Ergebnisse Tageslicht</t>
  </si>
  <si>
    <t>Récapitulation lumière de jour</t>
  </si>
  <si>
    <t>Riassunto illuminazione naturale</t>
  </si>
  <si>
    <t>Overview Daylight</t>
  </si>
  <si>
    <t>Ausblick</t>
  </si>
  <si>
    <t>Views</t>
  </si>
  <si>
    <t>Vues</t>
  </si>
  <si>
    <t>Prospettive</t>
  </si>
  <si>
    <t>D44</t>
  </si>
  <si>
    <t>A47</t>
  </si>
  <si>
    <t>A48</t>
  </si>
  <si>
    <t>A49</t>
  </si>
  <si>
    <t>A50</t>
  </si>
  <si>
    <t>A51</t>
  </si>
  <si>
    <t>A52</t>
  </si>
  <si>
    <t>A53</t>
  </si>
  <si>
    <t>A54</t>
  </si>
  <si>
    <t>Zusammenfassung der Ergebnisse Ausblick</t>
  </si>
  <si>
    <t>Versionierung</t>
  </si>
  <si>
    <t>Versions-Nr.</t>
  </si>
  <si>
    <t>Beschrieb der Anpassungen</t>
  </si>
  <si>
    <t xml:space="preserve">Datum </t>
  </si>
  <si>
    <t>Zuständig</t>
  </si>
  <si>
    <t>Tool neu erstellt</t>
  </si>
  <si>
    <t>le</t>
  </si>
  <si>
    <t>2.10</t>
  </si>
  <si>
    <t>2.01</t>
  </si>
  <si>
    <t>Ausblick ergänzt, Versionierung ergänzt</t>
  </si>
  <si>
    <t>D1</t>
  </si>
  <si>
    <t>A55</t>
  </si>
  <si>
    <t>Récapitulation vues</t>
  </si>
  <si>
    <t>Riassunto prospettive</t>
  </si>
  <si>
    <t>Overview views</t>
  </si>
  <si>
    <t>Profond. de la surface utilisée</t>
  </si>
  <si>
    <t>2.11</t>
  </si>
  <si>
    <t>M_Eco!2x</t>
  </si>
  <si>
    <t>Schwimmhalle (oberirdisch)</t>
  </si>
  <si>
    <t>Turnhalle (oberirdisch)</t>
  </si>
  <si>
    <t>Turnhalle (unterirdisch)</t>
  </si>
  <si>
    <t>Schwimmhalle (unterirdisch)</t>
  </si>
  <si>
    <t>Palestra (sotto terreno)</t>
  </si>
  <si>
    <t>Gymnasium (under ground)</t>
  </si>
  <si>
    <t>Gymnasium (above ground)</t>
  </si>
  <si>
    <t>Salle de gymnastique (souterrain)</t>
  </si>
  <si>
    <t>Salle de gymnastique (en surface)</t>
  </si>
  <si>
    <t>Palestra (fuori terra)</t>
  </si>
  <si>
    <t>Piscine couverte (en surface)</t>
  </si>
  <si>
    <t>Piscine couverte (souterrain)</t>
  </si>
  <si>
    <t>Piscina (fuori terra)</t>
  </si>
  <si>
    <t>Piscina (sotto terreno)</t>
  </si>
  <si>
    <t>Indoor Swimming Pool (above ground)</t>
  </si>
  <si>
    <t>Indoor Swimming Pool (under ground)</t>
  </si>
  <si>
    <t>Choisissez un des type de fenêtres saisi dans la feuille 'Fenêtres'.</t>
  </si>
  <si>
    <t>Ergänzungen Raumnutzungen unter Terrain, Korrektur Fehler Blatt Fenster, Vollständigkeitsprüfung Blatt Fenster</t>
  </si>
  <si>
    <t>Zu verwenden bis 31.12.2022</t>
  </si>
  <si>
    <t>A utiliser jusqu'à 31.12.2022</t>
  </si>
  <si>
    <t>Da utilizzare fino a 31.12.2022</t>
  </si>
  <si>
    <t>To be used until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</si>
</sst>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
    <numFmt numFmtId="166" formatCode="#,##0.0"/>
    <numFmt numFmtId="167" formatCode="0\ &quot;MJ/m²a&quot;"/>
    <numFmt numFmtId="168" formatCode="0\ &quot;MWh/a&quot;"/>
    <numFmt numFmtId="169" formatCode="dd/mm/yyyy;@"/>
    <numFmt numFmtId="170" formatCode="0&quot;°&quot;"/>
    <numFmt numFmtId="171" formatCode="0.0\ &quot;m²&quot;"/>
    <numFmt numFmtId="172" formatCode="0.0\ &quot;Pt.&quot;"/>
  </numFmts>
  <fonts count="38" x14ac:knownFonts="1">
    <font>
      <sz val="12"/>
      <name val="Arial"/>
    </font>
    <font>
      <sz val="12"/>
      <name val="Arial"/>
      <family val="2"/>
    </font>
    <font>
      <b/>
      <sz val="14"/>
      <name val="Arial"/>
      <family val="2"/>
    </font>
    <font>
      <sz val="14"/>
      <name val="Arial"/>
      <family val="2"/>
    </font>
    <font>
      <sz val="12"/>
      <name val="Arial"/>
      <family val="2"/>
    </font>
    <font>
      <b/>
      <sz val="12"/>
      <name val="Arial"/>
      <family val="2"/>
    </font>
    <font>
      <sz val="10"/>
      <name val="Arial"/>
      <family val="2"/>
    </font>
    <font>
      <b/>
      <sz val="10"/>
      <name val="Arial"/>
      <family val="2"/>
    </font>
    <font>
      <sz val="10"/>
      <name val="Arial"/>
      <family val="2"/>
    </font>
    <font>
      <b/>
      <sz val="10"/>
      <color indexed="9"/>
      <name val="Arial"/>
      <family val="2"/>
    </font>
    <font>
      <b/>
      <sz val="20"/>
      <name val="Arial"/>
      <family val="2"/>
    </font>
    <font>
      <sz val="9"/>
      <name val="Arial"/>
      <family val="2"/>
    </font>
    <font>
      <u/>
      <sz val="15"/>
      <color indexed="12"/>
      <name val="Arial"/>
      <family val="2"/>
    </font>
    <font>
      <sz val="10"/>
      <name val="Arial Narrow"/>
      <family val="2"/>
    </font>
    <font>
      <b/>
      <u/>
      <sz val="10"/>
      <color indexed="12"/>
      <name val="Arial"/>
      <family val="2"/>
    </font>
    <font>
      <sz val="8"/>
      <name val="Arial"/>
      <family val="2"/>
    </font>
    <font>
      <b/>
      <sz val="9"/>
      <name val="Arial"/>
      <family val="2"/>
    </font>
    <font>
      <vertAlign val="superscript"/>
      <sz val="10"/>
      <name val="Arial"/>
      <family val="2"/>
    </font>
    <font>
      <sz val="10"/>
      <color indexed="10"/>
      <name val="Arial"/>
      <family val="2"/>
    </font>
    <font>
      <b/>
      <sz val="13"/>
      <name val="Arial"/>
      <family val="2"/>
    </font>
    <font>
      <sz val="13"/>
      <name val="Arial"/>
      <family val="2"/>
    </font>
    <font>
      <sz val="12"/>
      <color indexed="9"/>
      <name val="Arial"/>
      <family val="2"/>
    </font>
    <font>
      <b/>
      <vertAlign val="subscript"/>
      <sz val="9"/>
      <name val="Arial"/>
      <family val="2"/>
    </font>
    <font>
      <vertAlign val="superscript"/>
      <sz val="10"/>
      <color indexed="9"/>
      <name val="Arial"/>
      <family val="2"/>
    </font>
    <font>
      <vertAlign val="subscript"/>
      <sz val="10"/>
      <color indexed="9"/>
      <name val="Arial"/>
      <family val="2"/>
    </font>
    <font>
      <sz val="18"/>
      <name val="Arial"/>
      <family val="2"/>
    </font>
    <font>
      <sz val="9"/>
      <color indexed="81"/>
      <name val="Tahoma"/>
      <family val="2"/>
    </font>
    <font>
      <b/>
      <sz val="9"/>
      <color indexed="81"/>
      <name val="Tahoma"/>
      <family val="2"/>
    </font>
    <font>
      <sz val="10"/>
      <color theme="0"/>
      <name val="Arial"/>
      <family val="2"/>
    </font>
    <font>
      <sz val="11"/>
      <color rgb="FF000000"/>
      <name val="Calibri"/>
      <family val="2"/>
    </font>
    <font>
      <b/>
      <sz val="10"/>
      <color theme="0"/>
      <name val="Arial"/>
      <family val="2"/>
    </font>
    <font>
      <b/>
      <sz val="14"/>
      <color theme="0"/>
      <name val="Arial"/>
      <family val="2"/>
    </font>
    <font>
      <sz val="12"/>
      <color theme="0"/>
      <name val="Arial"/>
      <family val="2"/>
    </font>
    <font>
      <b/>
      <sz val="12"/>
      <color theme="0"/>
      <name val="Arial"/>
      <family val="2"/>
    </font>
    <font>
      <sz val="14"/>
      <color theme="0"/>
      <name val="Arial"/>
      <family val="2"/>
    </font>
    <font>
      <sz val="10"/>
      <color theme="5"/>
      <name val="Arial"/>
      <family val="2"/>
    </font>
    <font>
      <b/>
      <sz val="10"/>
      <color theme="5" tint="-0.249977111117893"/>
      <name val="Arial"/>
      <family val="2"/>
    </font>
    <font>
      <sz val="9"/>
      <color rgb="FF00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bgColor indexed="64"/>
      </patternFill>
    </fill>
    <fill>
      <patternFill patternType="solid">
        <fgColor theme="0"/>
        <bgColor indexed="64"/>
      </patternFill>
    </fill>
    <fill>
      <patternFill patternType="solid">
        <fgColor rgb="FFEAEAEA"/>
        <bgColor indexed="64"/>
      </patternFill>
    </fill>
    <fill>
      <patternFill patternType="solid">
        <fgColor rgb="FFD7E5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DDDDD"/>
        <bgColor indexed="64"/>
      </patternFill>
    </fill>
    <fill>
      <patternFill patternType="solid">
        <fgColor rgb="FFFFFF99"/>
        <bgColor indexed="64"/>
      </patternFill>
    </fill>
    <fill>
      <patternFill patternType="solid">
        <fgColor rgb="FFCBDE90"/>
        <bgColor indexed="64"/>
      </patternFill>
    </fill>
    <fill>
      <patternFill patternType="solid">
        <fgColor theme="9" tint="0.59999389629810485"/>
        <bgColor indexed="64"/>
      </patternFill>
    </fill>
  </fills>
  <borders count="34">
    <border>
      <left/>
      <right/>
      <top/>
      <bottom/>
      <diagonal/>
    </border>
    <border>
      <left/>
      <right/>
      <top/>
      <bottom style="thin">
        <color indexed="64"/>
      </bottom>
      <diagonal/>
    </border>
    <border>
      <left style="hair">
        <color theme="0"/>
      </left>
      <right style="hair">
        <color theme="0"/>
      </right>
      <top style="hair">
        <color theme="0"/>
      </top>
      <bottom style="hair">
        <color theme="0"/>
      </bottom>
      <diagonal/>
    </border>
    <border>
      <left style="hair">
        <color theme="0"/>
      </left>
      <right style="hair">
        <color theme="0"/>
      </right>
      <top style="hair">
        <color theme="0"/>
      </top>
      <bottom style="thick">
        <color theme="0"/>
      </bottom>
      <diagonal/>
    </border>
    <border>
      <left style="hair">
        <color theme="0"/>
      </left>
      <right style="hair">
        <color theme="0"/>
      </right>
      <top style="thick">
        <color theme="0"/>
      </top>
      <bottom style="thick">
        <color theme="0"/>
      </bottom>
      <diagonal/>
    </border>
    <border>
      <left/>
      <right/>
      <top style="thick">
        <color theme="0"/>
      </top>
      <bottom/>
      <diagonal/>
    </border>
    <border>
      <left/>
      <right/>
      <top style="thick">
        <color theme="0"/>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hair">
        <color theme="0"/>
      </left>
      <right/>
      <top style="thick">
        <color theme="0"/>
      </top>
      <bottom/>
      <diagonal/>
    </border>
    <border>
      <left style="hair">
        <color theme="0"/>
      </left>
      <right/>
      <top style="thick">
        <color theme="0"/>
      </top>
      <bottom style="thick">
        <color theme="0"/>
      </bottom>
      <diagonal/>
    </border>
    <border>
      <left/>
      <right style="hair">
        <color theme="0"/>
      </right>
      <top style="thick">
        <color theme="0"/>
      </top>
      <bottom/>
      <diagonal/>
    </border>
    <border>
      <left/>
      <right style="hair">
        <color theme="0"/>
      </right>
      <top style="thick">
        <color theme="0"/>
      </top>
      <bottom style="thick">
        <color theme="0"/>
      </bottom>
      <diagonal/>
    </border>
    <border>
      <left/>
      <right/>
      <top/>
      <bottom style="hair">
        <color theme="0"/>
      </bottom>
      <diagonal/>
    </border>
    <border>
      <left/>
      <right style="hair">
        <color theme="0"/>
      </right>
      <top/>
      <bottom style="hair">
        <color theme="0"/>
      </bottom>
      <diagonal/>
    </border>
    <border>
      <left/>
      <right/>
      <top/>
      <bottom style="thick">
        <color theme="0"/>
      </bottom>
      <diagonal/>
    </border>
    <border>
      <left/>
      <right style="hair">
        <color theme="0"/>
      </right>
      <top/>
      <bottom style="thick">
        <color theme="0"/>
      </bottom>
      <diagonal/>
    </border>
    <border>
      <left style="hair">
        <color theme="0"/>
      </left>
      <right style="hair">
        <color theme="0"/>
      </right>
      <top/>
      <bottom style="thick">
        <color theme="0"/>
      </bottom>
      <diagonal/>
    </border>
    <border>
      <left style="hair">
        <color theme="0"/>
      </left>
      <right style="hair">
        <color theme="0"/>
      </right>
      <top style="thick">
        <color theme="0"/>
      </top>
      <bottom style="hair">
        <color theme="0"/>
      </bottom>
      <diagonal/>
    </border>
    <border>
      <left style="hair">
        <color theme="0"/>
      </left>
      <right/>
      <top/>
      <bottom style="thick">
        <color theme="0"/>
      </bottom>
      <diagonal/>
    </border>
    <border>
      <left style="hair">
        <color theme="0"/>
      </left>
      <right/>
      <top/>
      <bottom style="hair">
        <color theme="0"/>
      </bottom>
      <diagonal/>
    </border>
    <border>
      <left style="hair">
        <color theme="0"/>
      </left>
      <right style="hair">
        <color theme="0"/>
      </right>
      <top style="thick">
        <color theme="0"/>
      </top>
      <bottom/>
      <diagonal/>
    </border>
    <border>
      <left/>
      <right style="hair">
        <color theme="0"/>
      </right>
      <top style="hair">
        <color theme="0"/>
      </top>
      <bottom style="thick">
        <color theme="0"/>
      </bottom>
      <diagonal/>
    </border>
    <border>
      <left/>
      <right/>
      <top style="hair">
        <color theme="0"/>
      </top>
      <bottom style="hair">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thick">
        <color theme="0"/>
      </bottom>
      <diagonal/>
    </border>
    <border>
      <left/>
      <right/>
      <top style="hair">
        <color theme="0"/>
      </top>
      <bottom style="thick">
        <color theme="0"/>
      </bottom>
      <diagonal/>
    </border>
    <border>
      <left style="hair">
        <color theme="0"/>
      </left>
      <right style="hair">
        <color theme="0"/>
      </right>
      <top/>
      <bottom/>
      <diagonal/>
    </border>
    <border>
      <left/>
      <right style="thin">
        <color theme="0"/>
      </right>
      <top style="thick">
        <color theme="0"/>
      </top>
      <bottom/>
      <diagonal/>
    </border>
    <border>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n">
        <color theme="0"/>
      </right>
      <top style="thick">
        <color theme="0"/>
      </top>
      <bottom/>
      <diagonal/>
    </border>
  </borders>
  <cellStyleXfs count="7">
    <xf numFmtId="0" fontId="0" fillId="0" borderId="0"/>
    <xf numFmtId="0" fontId="12"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29" fillId="0" borderId="0"/>
    <xf numFmtId="0" fontId="8" fillId="0" borderId="0"/>
    <xf numFmtId="0" fontId="6" fillId="0" borderId="0"/>
  </cellStyleXfs>
  <cellXfs count="273">
    <xf numFmtId="0" fontId="0" fillId="0" borderId="0" xfId="0"/>
    <xf numFmtId="0" fontId="6" fillId="0" borderId="0" xfId="0" applyFont="1" applyProtection="1">
      <protection hidden="1"/>
    </xf>
    <xf numFmtId="0" fontId="4" fillId="0" borderId="0" xfId="0" applyFont="1" applyAlignment="1" applyProtection="1">
      <alignment vertical="center"/>
      <protection hidden="1"/>
    </xf>
    <xf numFmtId="0" fontId="4" fillId="0" borderId="0" xfId="0" applyFont="1" applyProtection="1">
      <protection hidden="1"/>
    </xf>
    <xf numFmtId="0" fontId="6" fillId="0" borderId="0" xfId="0" applyFont="1" applyAlignment="1" applyProtection="1">
      <alignment vertical="center"/>
      <protection hidden="1"/>
    </xf>
    <xf numFmtId="0" fontId="10" fillId="0" borderId="0" xfId="0" applyFont="1" applyProtection="1">
      <protection hidden="1"/>
    </xf>
    <xf numFmtId="0" fontId="6" fillId="0" borderId="0" xfId="0" applyFont="1" applyAlignment="1" applyProtection="1">
      <alignment vertical="center" wrapText="1"/>
      <protection hidden="1"/>
    </xf>
    <xf numFmtId="0" fontId="3" fillId="0" borderId="0" xfId="0" applyFont="1" applyProtection="1">
      <protection hidden="1"/>
    </xf>
    <xf numFmtId="0" fontId="7" fillId="0" borderId="0" xfId="0" applyFont="1" applyAlignment="1" applyProtection="1">
      <alignment horizontal="center" vertical="center"/>
      <protection hidden="1"/>
    </xf>
    <xf numFmtId="167" fontId="9" fillId="0" borderId="0" xfId="0" applyNumberFormat="1" applyFont="1" applyAlignment="1" applyProtection="1">
      <alignment horizontal="center" vertical="center"/>
      <protection hidden="1"/>
    </xf>
    <xf numFmtId="168" fontId="9" fillId="0" borderId="0" xfId="0" applyNumberFormat="1" applyFont="1" applyAlignment="1" applyProtection="1">
      <alignment horizontal="center" vertical="center"/>
      <protection hidden="1"/>
    </xf>
    <xf numFmtId="167" fontId="7" fillId="0" borderId="0" xfId="0" applyNumberFormat="1" applyFont="1" applyAlignment="1" applyProtection="1">
      <alignment horizontal="center" vertical="center"/>
      <protection hidden="1"/>
    </xf>
    <xf numFmtId="168" fontId="7" fillId="0" borderId="0" xfId="0" applyNumberFormat="1" applyFont="1" applyAlignment="1" applyProtection="1">
      <alignment horizontal="center" vertical="center"/>
      <protection hidden="1"/>
    </xf>
    <xf numFmtId="0" fontId="4" fillId="0" borderId="0" xfId="0" applyFont="1" applyAlignment="1" applyProtection="1">
      <alignment vertical="center" wrapText="1"/>
      <protection hidden="1"/>
    </xf>
    <xf numFmtId="0" fontId="8" fillId="0" borderId="0" xfId="5" applyProtection="1">
      <protection hidden="1"/>
    </xf>
    <xf numFmtId="0" fontId="4" fillId="0" borderId="0" xfId="0" applyFont="1" applyAlignment="1" applyProtection="1">
      <alignment horizontal="left" vertical="center"/>
      <protection hidden="1"/>
    </xf>
    <xf numFmtId="0" fontId="13" fillId="0" borderId="0" xfId="0" applyFont="1" applyAlignment="1" applyProtection="1">
      <alignment vertical="center"/>
      <protection hidden="1"/>
    </xf>
    <xf numFmtId="0" fontId="16" fillId="0" borderId="0" xfId="0" applyFont="1"/>
    <xf numFmtId="0" fontId="16" fillId="0" borderId="1" xfId="0" applyFont="1" applyBorder="1"/>
    <xf numFmtId="0" fontId="11" fillId="0" borderId="0" xfId="0" applyFont="1"/>
    <xf numFmtId="0" fontId="2" fillId="0" borderId="0" xfId="0" applyFont="1" applyProtection="1">
      <protection hidden="1"/>
    </xf>
    <xf numFmtId="9" fontId="11" fillId="0" borderId="0" xfId="0" applyNumberFormat="1" applyFont="1"/>
    <xf numFmtId="9" fontId="6" fillId="0" borderId="0" xfId="0" applyNumberFormat="1" applyFont="1" applyAlignment="1" applyProtection="1">
      <alignment vertical="center" wrapText="1"/>
      <protection hidden="1"/>
    </xf>
    <xf numFmtId="9" fontId="4" fillId="0" borderId="0" xfId="0" applyNumberFormat="1" applyFont="1" applyAlignment="1" applyProtection="1">
      <alignment vertical="center"/>
      <protection hidden="1"/>
    </xf>
    <xf numFmtId="0" fontId="6" fillId="0" borderId="0" xfId="0" applyFont="1" applyAlignment="1">
      <alignment vertical="center"/>
    </xf>
    <xf numFmtId="9" fontId="21" fillId="0" borderId="0" xfId="0" applyNumberFormat="1" applyFont="1" applyAlignment="1" applyProtection="1">
      <alignment horizontal="right" vertical="center"/>
      <protection locked="0" hidden="1"/>
    </xf>
    <xf numFmtId="0" fontId="6" fillId="0" borderId="0" xfId="0" applyFont="1"/>
    <xf numFmtId="0" fontId="6" fillId="0" borderId="0" xfId="5" applyFont="1" applyAlignment="1" applyProtection="1">
      <alignment vertical="top" wrapText="1"/>
      <protection hidden="1"/>
    </xf>
    <xf numFmtId="0" fontId="6" fillId="0" borderId="0" xfId="5" applyFont="1" applyProtection="1">
      <protection hidden="1"/>
    </xf>
    <xf numFmtId="0" fontId="8" fillId="0" borderId="0" xfId="5"/>
    <xf numFmtId="0" fontId="6" fillId="0" borderId="0" xfId="5" applyFont="1"/>
    <xf numFmtId="0" fontId="7" fillId="0" borderId="0" xfId="5" applyFont="1"/>
    <xf numFmtId="0" fontId="28" fillId="4" borderId="0" xfId="5" applyFont="1" applyFill="1"/>
    <xf numFmtId="0" fontId="28" fillId="4" borderId="0" xfId="5" applyFont="1" applyFill="1" applyAlignment="1">
      <alignment vertical="center"/>
    </xf>
    <xf numFmtId="165" fontId="8" fillId="0" borderId="0" xfId="5" applyNumberFormat="1"/>
    <xf numFmtId="2" fontId="8" fillId="0" borderId="0" xfId="5" applyNumberFormat="1"/>
    <xf numFmtId="0" fontId="31" fillId="4" borderId="0" xfId="0" applyFont="1" applyFill="1" applyProtection="1">
      <protection hidden="1"/>
    </xf>
    <xf numFmtId="0" fontId="4" fillId="5" borderId="0" xfId="0" applyFont="1" applyFill="1" applyAlignment="1" applyProtection="1">
      <alignment vertical="center"/>
      <protection hidden="1"/>
    </xf>
    <xf numFmtId="0" fontId="6" fillId="5" borderId="0" xfId="0" applyFont="1" applyFill="1" applyAlignment="1" applyProtection="1">
      <alignment vertical="center"/>
      <protection hidden="1"/>
    </xf>
    <xf numFmtId="0" fontId="30" fillId="4" borderId="0" xfId="0" applyFont="1" applyFill="1"/>
    <xf numFmtId="0" fontId="28" fillId="4" borderId="2" xfId="5" applyFont="1" applyFill="1" applyBorder="1"/>
    <xf numFmtId="0" fontId="28" fillId="4" borderId="3" xfId="5" applyFont="1" applyFill="1" applyBorder="1" applyAlignment="1">
      <alignment horizontal="center" wrapText="1"/>
    </xf>
    <xf numFmtId="0" fontId="8" fillId="6" borderId="4" xfId="5" applyFill="1" applyBorder="1"/>
    <xf numFmtId="2" fontId="6" fillId="6" borderId="4" xfId="5" applyNumberFormat="1" applyFont="1" applyFill="1" applyBorder="1" applyAlignment="1">
      <alignment horizontal="center"/>
    </xf>
    <xf numFmtId="9" fontId="8" fillId="3" borderId="4" xfId="3" applyFont="1" applyFill="1" applyBorder="1" applyAlignment="1" applyProtection="1">
      <alignment horizontal="center"/>
    </xf>
    <xf numFmtId="2" fontId="8" fillId="3" borderId="4" xfId="5" applyNumberFormat="1" applyFill="1" applyBorder="1" applyAlignment="1">
      <alignment horizontal="center"/>
    </xf>
    <xf numFmtId="2" fontId="8" fillId="3" borderId="4" xfId="2" applyNumberFormat="1" applyFont="1" applyFill="1" applyBorder="1" applyAlignment="1" applyProtection="1">
      <alignment horizontal="center"/>
    </xf>
    <xf numFmtId="0" fontId="8" fillId="3" borderId="4" xfId="2" applyNumberFormat="1" applyFont="1" applyFill="1" applyBorder="1" applyAlignment="1" applyProtection="1">
      <alignment horizontal="center"/>
    </xf>
    <xf numFmtId="165" fontId="8" fillId="3" borderId="4" xfId="5" applyNumberFormat="1" applyFill="1" applyBorder="1" applyAlignment="1">
      <alignment horizontal="center"/>
    </xf>
    <xf numFmtId="165" fontId="6" fillId="6" borderId="4" xfId="5" applyNumberFormat="1" applyFont="1" applyFill="1" applyBorder="1" applyAlignment="1">
      <alignment horizontal="center"/>
    </xf>
    <xf numFmtId="165" fontId="8" fillId="6" borderId="4" xfId="5" applyNumberFormat="1" applyFill="1" applyBorder="1" applyAlignment="1">
      <alignment horizontal="center"/>
    </xf>
    <xf numFmtId="9" fontId="6" fillId="6" borderId="4" xfId="0" applyNumberFormat="1" applyFont="1" applyFill="1" applyBorder="1" applyAlignment="1">
      <alignment horizontal="center" vertical="center"/>
    </xf>
    <xf numFmtId="0" fontId="6" fillId="7" borderId="4" xfId="5" applyFont="1" applyFill="1" applyBorder="1" applyProtection="1">
      <protection locked="0"/>
    </xf>
    <xf numFmtId="0" fontId="8" fillId="7" borderId="4" xfId="5" applyFill="1" applyBorder="1" applyProtection="1">
      <protection locked="0"/>
    </xf>
    <xf numFmtId="0" fontId="6" fillId="7" borderId="4" xfId="5" applyFont="1" applyFill="1" applyBorder="1" applyAlignment="1" applyProtection="1">
      <alignment horizontal="center"/>
      <protection locked="0"/>
    </xf>
    <xf numFmtId="165" fontId="6" fillId="7" borderId="4" xfId="3" applyNumberFormat="1" applyFont="1" applyFill="1" applyBorder="1" applyAlignment="1" applyProtection="1">
      <alignment horizontal="center"/>
      <protection locked="0"/>
    </xf>
    <xf numFmtId="0" fontId="8" fillId="7" borderId="4" xfId="5" applyFill="1" applyBorder="1" applyAlignment="1" applyProtection="1">
      <alignment horizontal="center"/>
      <protection locked="0"/>
    </xf>
    <xf numFmtId="165" fontId="8" fillId="7" borderId="4" xfId="3" applyNumberFormat="1" applyFont="1" applyFill="1" applyBorder="1" applyAlignment="1" applyProtection="1">
      <alignment horizontal="center"/>
      <protection locked="0"/>
    </xf>
    <xf numFmtId="0" fontId="6" fillId="8" borderId="4" xfId="5" applyFont="1" applyFill="1" applyBorder="1" applyProtection="1">
      <protection locked="0"/>
    </xf>
    <xf numFmtId="0" fontId="8" fillId="8" borderId="4" xfId="5" applyFill="1" applyBorder="1" applyProtection="1">
      <protection locked="0"/>
    </xf>
    <xf numFmtId="165" fontId="6" fillId="8" borderId="4" xfId="5" applyNumberFormat="1" applyFont="1" applyFill="1" applyBorder="1" applyAlignment="1" applyProtection="1">
      <alignment horizontal="center"/>
      <protection locked="0"/>
    </xf>
    <xf numFmtId="165" fontId="8" fillId="8" borderId="4" xfId="5" applyNumberFormat="1" applyFill="1" applyBorder="1" applyAlignment="1" applyProtection="1">
      <alignment horizontal="center"/>
      <protection locked="0"/>
    </xf>
    <xf numFmtId="1" fontId="6" fillId="8" borderId="4" xfId="3" applyNumberFormat="1" applyFont="1" applyFill="1" applyBorder="1" applyAlignment="1" applyProtection="1">
      <alignment horizontal="center"/>
      <protection locked="0"/>
    </xf>
    <xf numFmtId="1" fontId="8" fillId="8" borderId="4" xfId="3" applyNumberFormat="1" applyFont="1" applyFill="1" applyBorder="1" applyAlignment="1" applyProtection="1">
      <alignment horizontal="center"/>
      <protection locked="0"/>
    </xf>
    <xf numFmtId="1" fontId="6" fillId="8" borderId="4" xfId="5" applyNumberFormat="1" applyFont="1" applyFill="1" applyBorder="1" applyAlignment="1" applyProtection="1">
      <alignment horizontal="center"/>
      <protection locked="0"/>
    </xf>
    <xf numFmtId="1" fontId="8" fillId="8" borderId="4" xfId="5" applyNumberFormat="1" applyFill="1" applyBorder="1" applyAlignment="1" applyProtection="1">
      <alignment horizontal="center"/>
      <protection locked="0"/>
    </xf>
    <xf numFmtId="0" fontId="8" fillId="6" borderId="5" xfId="5" applyFill="1" applyBorder="1"/>
    <xf numFmtId="0" fontId="8" fillId="6" borderId="5" xfId="5" applyFill="1" applyBorder="1" applyAlignment="1">
      <alignment vertical="center"/>
    </xf>
    <xf numFmtId="0" fontId="6" fillId="6" borderId="6" xfId="5" applyFont="1" applyFill="1" applyBorder="1" applyAlignment="1">
      <alignment vertical="center"/>
    </xf>
    <xf numFmtId="0" fontId="32" fillId="4" borderId="0" xfId="0" applyFont="1" applyFill="1" applyAlignment="1" applyProtection="1">
      <alignment vertical="center"/>
      <protection hidden="1"/>
    </xf>
    <xf numFmtId="0" fontId="25" fillId="0" borderId="0" xfId="0" applyFont="1"/>
    <xf numFmtId="0" fontId="3" fillId="0" borderId="0" xfId="0" applyFont="1"/>
    <xf numFmtId="0" fontId="11" fillId="6" borderId="0" xfId="0" applyFont="1" applyFill="1"/>
    <xf numFmtId="0" fontId="33" fillId="4" borderId="0" xfId="0" applyFont="1" applyFill="1" applyProtection="1">
      <protection hidden="1"/>
    </xf>
    <xf numFmtId="0" fontId="6" fillId="5" borderId="0" xfId="0" applyFont="1" applyFill="1" applyAlignment="1">
      <alignment horizontal="left"/>
    </xf>
    <xf numFmtId="0" fontId="6" fillId="5" borderId="0" xfId="0" applyFont="1" applyFill="1" applyAlignment="1">
      <alignment horizontal="left" wrapText="1"/>
    </xf>
    <xf numFmtId="0" fontId="6" fillId="6" borderId="0" xfId="0" applyFont="1" applyFill="1" applyAlignment="1">
      <alignment horizontal="left"/>
    </xf>
    <xf numFmtId="0" fontId="6" fillId="6" borderId="0" xfId="0" applyFont="1" applyFill="1" applyAlignment="1">
      <alignment horizontal="left" wrapText="1"/>
    </xf>
    <xf numFmtId="0" fontId="7" fillId="7" borderId="7" xfId="5" applyFont="1" applyFill="1" applyBorder="1" applyAlignment="1" applyProtection="1">
      <alignment horizontal="center" vertical="center"/>
      <protection locked="0"/>
    </xf>
    <xf numFmtId="0" fontId="4" fillId="6" borderId="8" xfId="0" applyFont="1" applyFill="1" applyBorder="1" applyAlignment="1" applyProtection="1">
      <alignment vertical="center" wrapText="1"/>
      <protection locked="0" hidden="1"/>
    </xf>
    <xf numFmtId="0" fontId="4" fillId="6" borderId="9" xfId="0" applyFont="1" applyFill="1" applyBorder="1" applyAlignment="1" applyProtection="1">
      <alignment vertical="center" wrapText="1"/>
      <protection locked="0" hidden="1"/>
    </xf>
    <xf numFmtId="0" fontId="4" fillId="0" borderId="8" xfId="0" applyFont="1" applyBorder="1" applyAlignment="1" applyProtection="1">
      <alignment vertical="center" wrapText="1"/>
      <protection hidden="1"/>
    </xf>
    <xf numFmtId="0" fontId="4" fillId="0" borderId="9" xfId="0" applyFont="1" applyBorder="1" applyAlignment="1" applyProtection="1">
      <alignment vertical="center" wrapText="1"/>
      <protection hidden="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9" fillId="0" borderId="7" xfId="0" applyFont="1" applyBorder="1" applyAlignment="1" applyProtection="1">
      <alignment horizontal="center" vertical="center"/>
      <protection hidden="1"/>
    </xf>
    <xf numFmtId="0" fontId="6" fillId="5" borderId="0" xfId="0" applyFont="1" applyFill="1" applyAlignment="1" applyProtection="1">
      <alignment vertical="center" wrapText="1"/>
      <protection hidden="1"/>
    </xf>
    <xf numFmtId="0" fontId="6" fillId="5" borderId="7" xfId="0" applyFont="1" applyFill="1" applyBorder="1" applyAlignment="1" applyProtection="1">
      <alignment horizontal="center" vertical="center"/>
      <protection locked="0"/>
    </xf>
    <xf numFmtId="0" fontId="7" fillId="5" borderId="0" xfId="5" applyFont="1" applyFill="1" applyAlignment="1" applyProtection="1">
      <alignment horizontal="center" vertical="center"/>
      <protection locked="0"/>
    </xf>
    <xf numFmtId="0" fontId="6" fillId="5" borderId="0" xfId="0" applyFont="1" applyFill="1" applyAlignment="1">
      <alignment vertical="center"/>
    </xf>
    <xf numFmtId="0" fontId="2" fillId="5" borderId="0" xfId="0" applyFont="1" applyFill="1" applyProtection="1">
      <protection hidden="1"/>
    </xf>
    <xf numFmtId="0" fontId="6" fillId="6" borderId="0" xfId="0" applyFont="1" applyFill="1" applyAlignment="1">
      <alignment horizontal="left" vertical="center"/>
    </xf>
    <xf numFmtId="0" fontId="6" fillId="6" borderId="5" xfId="5" applyFont="1" applyFill="1" applyBorder="1" applyAlignment="1">
      <alignment vertical="center"/>
    </xf>
    <xf numFmtId="0" fontId="6" fillId="0" borderId="0" xfId="6" applyProtection="1">
      <protection hidden="1"/>
    </xf>
    <xf numFmtId="0" fontId="6" fillId="0" borderId="0" xfId="6" applyAlignment="1" applyProtection="1">
      <alignment vertical="top" wrapText="1"/>
      <protection hidden="1"/>
    </xf>
    <xf numFmtId="0" fontId="28" fillId="4" borderId="3" xfId="5" applyFont="1" applyFill="1" applyBorder="1" applyAlignment="1">
      <alignment horizontal="left" wrapText="1"/>
    </xf>
    <xf numFmtId="0" fontId="28" fillId="4" borderId="3" xfId="5" applyFont="1" applyFill="1" applyBorder="1" applyAlignment="1">
      <alignment wrapText="1"/>
    </xf>
    <xf numFmtId="165" fontId="8" fillId="6" borderId="10" xfId="5" applyNumberFormat="1" applyFill="1" applyBorder="1" applyAlignment="1">
      <alignment vertical="center"/>
    </xf>
    <xf numFmtId="165" fontId="8" fillId="6" borderId="11" xfId="5" applyNumberFormat="1" applyFill="1" applyBorder="1" applyAlignment="1">
      <alignment vertical="center"/>
    </xf>
    <xf numFmtId="0" fontId="6" fillId="6" borderId="12" xfId="5" applyFont="1" applyFill="1" applyBorder="1" applyAlignment="1">
      <alignment vertical="center"/>
    </xf>
    <xf numFmtId="0" fontId="6" fillId="6" borderId="13" xfId="5" applyFont="1" applyFill="1" applyBorder="1" applyAlignment="1">
      <alignment vertical="center"/>
    </xf>
    <xf numFmtId="165" fontId="6" fillId="6" borderId="5" xfId="5" applyNumberFormat="1" applyFont="1" applyFill="1" applyBorder="1" applyAlignment="1">
      <alignment vertical="center"/>
    </xf>
    <xf numFmtId="165" fontId="6" fillId="6" borderId="6" xfId="5" applyNumberFormat="1" applyFont="1" applyFill="1" applyBorder="1" applyAlignment="1">
      <alignment vertical="center"/>
    </xf>
    <xf numFmtId="0" fontId="28" fillId="4" borderId="14" xfId="5" applyFont="1" applyFill="1" applyBorder="1"/>
    <xf numFmtId="0" fontId="32" fillId="4" borderId="14" xfId="5" applyFont="1" applyFill="1" applyBorder="1" applyAlignment="1">
      <alignment vertical="center"/>
    </xf>
    <xf numFmtId="0" fontId="8" fillId="4" borderId="14" xfId="5" applyFill="1" applyBorder="1"/>
    <xf numFmtId="0" fontId="28" fillId="4" borderId="15" xfId="5" applyFont="1" applyFill="1" applyBorder="1"/>
    <xf numFmtId="0" fontId="8" fillId="4" borderId="15" xfId="5" applyFill="1" applyBorder="1"/>
    <xf numFmtId="0" fontId="6" fillId="6" borderId="11" xfId="5" applyFont="1" applyFill="1" applyBorder="1" applyAlignment="1">
      <alignment vertical="center"/>
    </xf>
    <xf numFmtId="1" fontId="8" fillId="6" borderId="10" xfId="5" applyNumberFormat="1" applyFill="1" applyBorder="1" applyAlignment="1">
      <alignment vertical="center"/>
    </xf>
    <xf numFmtId="1" fontId="8" fillId="6" borderId="11" xfId="5" applyNumberFormat="1" applyFill="1" applyBorder="1" applyAlignment="1">
      <alignment vertical="center"/>
    </xf>
    <xf numFmtId="0" fontId="8" fillId="5" borderId="0" xfId="5" applyFill="1"/>
    <xf numFmtId="0" fontId="7" fillId="5" borderId="0" xfId="5" applyFont="1" applyFill="1"/>
    <xf numFmtId="0" fontId="7" fillId="5" borderId="0" xfId="5" applyFont="1" applyFill="1" applyAlignment="1">
      <alignment horizontal="center"/>
    </xf>
    <xf numFmtId="9" fontId="7" fillId="5" borderId="0" xfId="3" applyFont="1" applyFill="1" applyBorder="1" applyAlignment="1" applyProtection="1">
      <alignment horizontal="center"/>
    </xf>
    <xf numFmtId="170" fontId="7" fillId="5" borderId="0" xfId="5" applyNumberFormat="1" applyFont="1" applyFill="1" applyAlignment="1">
      <alignment horizontal="center"/>
    </xf>
    <xf numFmtId="0" fontId="6" fillId="5" borderId="0" xfId="5" applyFont="1" applyFill="1"/>
    <xf numFmtId="0" fontId="8" fillId="0" borderId="0" xfId="5" applyAlignment="1">
      <alignment vertical="center"/>
    </xf>
    <xf numFmtId="0" fontId="7" fillId="0" borderId="0" xfId="5" applyFont="1" applyAlignment="1">
      <alignment vertical="center"/>
    </xf>
    <xf numFmtId="0" fontId="5" fillId="0" borderId="0" xfId="5" applyFont="1" applyAlignment="1">
      <alignment horizontal="right" vertical="center"/>
    </xf>
    <xf numFmtId="0" fontId="25" fillId="0" borderId="0" xfId="5" applyFont="1" applyAlignment="1">
      <alignment vertical="center"/>
    </xf>
    <xf numFmtId="0" fontId="5" fillId="0" borderId="0" xfId="5" applyFont="1" applyAlignment="1">
      <alignment vertical="center"/>
    </xf>
    <xf numFmtId="0" fontId="14" fillId="0" borderId="0" xfId="1" applyFont="1" applyFill="1" applyBorder="1" applyAlignment="1" applyProtection="1">
      <alignment vertical="center"/>
    </xf>
    <xf numFmtId="0" fontId="25" fillId="0" borderId="0" xfId="5" applyFont="1" applyAlignment="1" applyProtection="1">
      <alignment vertical="center"/>
      <protection hidden="1"/>
    </xf>
    <xf numFmtId="0" fontId="5" fillId="0" borderId="0" xfId="5" applyFont="1" applyProtection="1">
      <protection hidden="1"/>
    </xf>
    <xf numFmtId="0" fontId="10" fillId="0" borderId="0" xfId="0" applyFont="1"/>
    <xf numFmtId="0" fontId="10" fillId="5" borderId="0" xfId="0" applyFont="1" applyFill="1"/>
    <xf numFmtId="0" fontId="4" fillId="0" borderId="0" xfId="0" applyFont="1"/>
    <xf numFmtId="0" fontId="4" fillId="2" borderId="0" xfId="0" applyFont="1" applyFill="1"/>
    <xf numFmtId="0" fontId="4" fillId="5" borderId="0" xfId="0" applyFont="1" applyFill="1"/>
    <xf numFmtId="0" fontId="34" fillId="4" borderId="0" xfId="0" applyFont="1" applyFill="1" applyAlignment="1">
      <alignment vertical="center"/>
    </xf>
    <xf numFmtId="0" fontId="3" fillId="5" borderId="0" xfId="0" applyFont="1" applyFill="1"/>
    <xf numFmtId="0" fontId="4" fillId="5" borderId="0" xfId="0" applyFont="1" applyFill="1" applyAlignment="1">
      <alignment vertical="center"/>
    </xf>
    <xf numFmtId="0" fontId="7" fillId="5" borderId="0" xfId="0" applyFont="1" applyFill="1" applyAlignment="1">
      <alignment horizontal="center" vertical="center"/>
    </xf>
    <xf numFmtId="0" fontId="7" fillId="0" borderId="0" xfId="0" applyFont="1" applyAlignment="1">
      <alignment horizontal="center" vertical="center"/>
    </xf>
    <xf numFmtId="0" fontId="35" fillId="2" borderId="0" xfId="0" applyFont="1" applyFill="1" applyAlignment="1">
      <alignment vertical="center"/>
    </xf>
    <xf numFmtId="0" fontId="18" fillId="2" borderId="0" xfId="0" applyFont="1" applyFill="1" applyAlignment="1">
      <alignment vertical="center"/>
    </xf>
    <xf numFmtId="167" fontId="7" fillId="5" borderId="0" xfId="0" applyNumberFormat="1" applyFont="1" applyFill="1" applyAlignment="1">
      <alignment horizontal="center" vertical="center"/>
    </xf>
    <xf numFmtId="167" fontId="9" fillId="0" borderId="0" xfId="0" applyNumberFormat="1" applyFont="1" applyAlignment="1">
      <alignment horizontal="center" vertical="center"/>
    </xf>
    <xf numFmtId="168" fontId="7" fillId="5" borderId="0" xfId="0" applyNumberFormat="1" applyFont="1" applyFill="1" applyAlignment="1">
      <alignment horizontal="center" vertical="center"/>
    </xf>
    <xf numFmtId="168" fontId="9" fillId="0" borderId="0" xfId="0" applyNumberFormat="1" applyFont="1" applyAlignment="1">
      <alignment horizontal="center" vertical="center"/>
    </xf>
    <xf numFmtId="0" fontId="13" fillId="5" borderId="0" xfId="0" applyFont="1" applyFill="1" applyAlignment="1">
      <alignment vertical="center"/>
    </xf>
    <xf numFmtId="0" fontId="6" fillId="5" borderId="0" xfId="0" applyFont="1" applyFill="1" applyAlignment="1">
      <alignment vertical="center" wrapText="1"/>
    </xf>
    <xf numFmtId="0" fontId="6" fillId="0" borderId="0" xfId="0" applyFont="1" applyAlignment="1">
      <alignment vertical="center" wrapText="1"/>
    </xf>
    <xf numFmtId="0" fontId="1" fillId="2" borderId="0" xfId="0" applyFont="1" applyFill="1" applyAlignment="1">
      <alignment vertical="center"/>
    </xf>
    <xf numFmtId="0" fontId="31" fillId="4" borderId="0" xfId="0" applyFont="1" applyFill="1" applyAlignment="1">
      <alignment vertical="center"/>
    </xf>
    <xf numFmtId="0" fontId="4" fillId="0" borderId="0" xfId="0" applyFont="1" applyAlignment="1">
      <alignment vertical="center"/>
    </xf>
    <xf numFmtId="0" fontId="6" fillId="3" borderId="16" xfId="0" applyFont="1" applyFill="1" applyBorder="1" applyAlignment="1">
      <alignment horizontal="left" vertical="center"/>
    </xf>
    <xf numFmtId="165" fontId="6" fillId="3" borderId="16" xfId="0" applyNumberFormat="1" applyFont="1" applyFill="1" applyBorder="1" applyAlignment="1">
      <alignment horizontal="right" vertical="center"/>
    </xf>
    <xf numFmtId="0" fontId="6" fillId="3" borderId="6" xfId="0" applyFont="1" applyFill="1" applyBorder="1" applyAlignment="1">
      <alignment vertical="center"/>
    </xf>
    <xf numFmtId="165" fontId="6" fillId="3" borderId="6" xfId="0" applyNumberFormat="1" applyFont="1" applyFill="1" applyBorder="1" applyAlignment="1">
      <alignment vertical="center"/>
    </xf>
    <xf numFmtId="1" fontId="6" fillId="3" borderId="6" xfId="0" applyNumberFormat="1" applyFont="1" applyFill="1" applyBorder="1" applyAlignment="1">
      <alignment vertical="center"/>
    </xf>
    <xf numFmtId="0" fontId="28" fillId="4" borderId="0" xfId="0" applyFont="1" applyFill="1" applyAlignment="1">
      <alignment horizontal="right" vertical="center"/>
    </xf>
    <xf numFmtId="0" fontId="5" fillId="2" borderId="0" xfId="0" applyFont="1" applyFill="1" applyAlignment="1">
      <alignment horizontal="center" vertical="center"/>
    </xf>
    <xf numFmtId="166" fontId="5" fillId="2" borderId="0" xfId="0" applyNumberFormat="1" applyFont="1" applyFill="1" applyAlignment="1">
      <alignment horizontal="center" vertical="center"/>
    </xf>
    <xf numFmtId="0" fontId="4" fillId="5" borderId="0" xfId="0" applyFont="1" applyFill="1" applyAlignment="1">
      <alignment vertical="top"/>
    </xf>
    <xf numFmtId="0" fontId="4" fillId="0" borderId="0" xfId="0" applyFont="1" applyAlignment="1">
      <alignment vertical="top"/>
    </xf>
    <xf numFmtId="0" fontId="4" fillId="0" borderId="0" xfId="0" applyFont="1" applyAlignment="1">
      <alignment horizontal="left" vertical="center"/>
    </xf>
    <xf numFmtId="0" fontId="28" fillId="0" borderId="0" xfId="0" applyFont="1"/>
    <xf numFmtId="0" fontId="28" fillId="4" borderId="15" xfId="0" applyFont="1" applyFill="1" applyBorder="1"/>
    <xf numFmtId="0" fontId="28" fillId="4" borderId="3" xfId="0" applyFont="1" applyFill="1" applyBorder="1" applyAlignment="1">
      <alignment wrapText="1"/>
    </xf>
    <xf numFmtId="0" fontId="28" fillId="4" borderId="3" xfId="0" applyFont="1" applyFill="1" applyBorder="1" applyAlignment="1">
      <alignment horizontal="center" wrapText="1"/>
    </xf>
    <xf numFmtId="0" fontId="6" fillId="6" borderId="17" xfId="0" applyFont="1" applyFill="1" applyBorder="1"/>
    <xf numFmtId="2" fontId="6" fillId="9" borderId="18" xfId="0" applyNumberFormat="1" applyFont="1" applyFill="1" applyBorder="1"/>
    <xf numFmtId="0" fontId="6" fillId="9" borderId="18" xfId="0" applyFont="1" applyFill="1" applyBorder="1"/>
    <xf numFmtId="0" fontId="6" fillId="6" borderId="13" xfId="0" applyFont="1" applyFill="1" applyBorder="1"/>
    <xf numFmtId="0" fontId="6" fillId="8" borderId="4" xfId="0" applyFont="1" applyFill="1" applyBorder="1"/>
    <xf numFmtId="0" fontId="6" fillId="9" borderId="4" xfId="0" applyFont="1" applyFill="1" applyBorder="1"/>
    <xf numFmtId="0" fontId="6" fillId="9" borderId="19" xfId="0" applyFont="1" applyFill="1" applyBorder="1"/>
    <xf numFmtId="0" fontId="6" fillId="5" borderId="0" xfId="0" applyFont="1" applyFill="1"/>
    <xf numFmtId="0" fontId="6" fillId="8" borderId="18" xfId="0" applyFont="1" applyFill="1" applyBorder="1" applyProtection="1">
      <protection locked="0"/>
    </xf>
    <xf numFmtId="0" fontId="6" fillId="8" borderId="18" xfId="0" applyFont="1" applyFill="1" applyBorder="1" applyAlignment="1" applyProtection="1">
      <alignment horizontal="center"/>
      <protection locked="0"/>
    </xf>
    <xf numFmtId="9" fontId="6" fillId="8" borderId="18" xfId="0" applyNumberFormat="1" applyFont="1" applyFill="1" applyBorder="1" applyAlignment="1" applyProtection="1">
      <alignment horizontal="center"/>
      <protection locked="0"/>
    </xf>
    <xf numFmtId="0" fontId="6" fillId="8" borderId="20" xfId="0" applyFont="1" applyFill="1" applyBorder="1" applyAlignment="1" applyProtection="1">
      <alignment horizontal="center"/>
      <protection locked="0"/>
    </xf>
    <xf numFmtId="0" fontId="6" fillId="7" borderId="4" xfId="0" applyFont="1" applyFill="1" applyBorder="1" applyAlignment="1" applyProtection="1">
      <alignment horizontal="center"/>
      <protection locked="0"/>
    </xf>
    <xf numFmtId="0" fontId="15" fillId="7" borderId="4" xfId="0" applyFont="1" applyFill="1" applyBorder="1" applyProtection="1">
      <protection locked="0"/>
    </xf>
    <xf numFmtId="0" fontId="6" fillId="8" borderId="4" xfId="0" applyFont="1" applyFill="1" applyBorder="1" applyProtection="1">
      <protection locked="0"/>
    </xf>
    <xf numFmtId="0" fontId="6" fillId="8" borderId="4" xfId="0" applyFont="1" applyFill="1" applyBorder="1" applyAlignment="1" applyProtection="1">
      <alignment horizontal="center"/>
      <protection locked="0"/>
    </xf>
    <xf numFmtId="9" fontId="6" fillId="8" borderId="4" xfId="0" applyNumberFormat="1" applyFont="1" applyFill="1" applyBorder="1" applyAlignment="1" applyProtection="1">
      <alignment horizontal="center"/>
      <protection locked="0"/>
    </xf>
    <xf numFmtId="0" fontId="6" fillId="8" borderId="11" xfId="0" applyFont="1" applyFill="1" applyBorder="1" applyAlignment="1" applyProtection="1">
      <alignment horizontal="center"/>
      <protection locked="0"/>
    </xf>
    <xf numFmtId="0" fontId="32" fillId="4" borderId="21" xfId="5" applyFont="1" applyFill="1" applyBorder="1" applyAlignment="1">
      <alignment vertical="center"/>
    </xf>
    <xf numFmtId="0" fontId="6" fillId="10" borderId="22" xfId="5" applyFont="1" applyFill="1" applyBorder="1" applyAlignment="1" applyProtection="1">
      <alignment vertical="center"/>
      <protection locked="0"/>
    </xf>
    <xf numFmtId="0" fontId="6" fillId="10" borderId="4" xfId="5" applyFont="1" applyFill="1" applyBorder="1" applyAlignment="1" applyProtection="1">
      <alignment vertical="center"/>
      <protection locked="0"/>
    </xf>
    <xf numFmtId="0" fontId="19" fillId="0" borderId="0" xfId="0" applyFont="1" applyAlignment="1" applyProtection="1">
      <alignment horizontal="center" vertical="center"/>
      <protection hidden="1"/>
    </xf>
    <xf numFmtId="0" fontId="6" fillId="11" borderId="0" xfId="0" applyFont="1" applyFill="1"/>
    <xf numFmtId="0" fontId="6" fillId="12" borderId="0" xfId="0" applyFont="1" applyFill="1"/>
    <xf numFmtId="0" fontId="28" fillId="4" borderId="23" xfId="0" applyFont="1" applyFill="1" applyBorder="1" applyAlignment="1">
      <alignment wrapText="1"/>
    </xf>
    <xf numFmtId="1" fontId="6" fillId="6" borderId="10" xfId="5" applyNumberFormat="1" applyFont="1" applyFill="1" applyBorder="1" applyAlignment="1">
      <alignment vertical="center"/>
    </xf>
    <xf numFmtId="1" fontId="6" fillId="6" borderId="11" xfId="5" applyNumberFormat="1" applyFont="1" applyFill="1" applyBorder="1" applyAlignment="1">
      <alignment vertical="center"/>
    </xf>
    <xf numFmtId="9" fontId="11" fillId="0" borderId="0" xfId="3" applyFont="1"/>
    <xf numFmtId="0" fontId="32" fillId="4" borderId="24" xfId="5" applyFont="1" applyFill="1" applyBorder="1" applyAlignment="1">
      <alignment vertical="center"/>
    </xf>
    <xf numFmtId="2" fontId="6" fillId="8" borderId="18" xfId="0" applyNumberFormat="1" applyFont="1" applyFill="1" applyBorder="1" applyAlignment="1" applyProtection="1">
      <alignment horizontal="center"/>
      <protection locked="0"/>
    </xf>
    <xf numFmtId="2" fontId="6" fillId="8" borderId="4" xfId="0" applyNumberFormat="1" applyFont="1" applyFill="1" applyBorder="1" applyAlignment="1" applyProtection="1">
      <alignment horizontal="center"/>
      <protection locked="0"/>
    </xf>
    <xf numFmtId="9" fontId="6" fillId="8" borderId="4" xfId="5" applyNumberFormat="1" applyFont="1" applyFill="1" applyBorder="1" applyAlignment="1">
      <alignment horizontal="center"/>
    </xf>
    <xf numFmtId="0" fontId="6" fillId="2" borderId="0" xfId="0" applyFont="1" applyFill="1" applyAlignment="1">
      <alignment horizontal="left" vertical="center"/>
    </xf>
    <xf numFmtId="0" fontId="1" fillId="6" borderId="8" xfId="0" applyFont="1" applyFill="1" applyBorder="1" applyAlignment="1" applyProtection="1">
      <alignment horizontal="center" vertical="center"/>
      <protection hidden="1"/>
    </xf>
    <xf numFmtId="0" fontId="1" fillId="6" borderId="9" xfId="0" applyFont="1" applyFill="1" applyBorder="1" applyAlignment="1" applyProtection="1">
      <alignment horizontal="center" vertical="center"/>
      <protection hidden="1"/>
    </xf>
    <xf numFmtId="0" fontId="1" fillId="0" borderId="7" xfId="0" applyFont="1" applyBorder="1" applyAlignment="1" applyProtection="1">
      <alignment vertical="center" wrapText="1"/>
      <protection hidden="1"/>
    </xf>
    <xf numFmtId="0" fontId="1" fillId="0" borderId="0" xfId="0" applyFont="1" applyAlignment="1">
      <alignment horizontal="center" vertical="center"/>
    </xf>
    <xf numFmtId="0" fontId="1" fillId="6" borderId="6" xfId="5" applyFont="1" applyFill="1" applyBorder="1"/>
    <xf numFmtId="0" fontId="1" fillId="6" borderId="6" xfId="5" applyFont="1" applyFill="1"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left" vertical="center"/>
    </xf>
    <xf numFmtId="0" fontId="32" fillId="4" borderId="25" xfId="5" applyFont="1" applyFill="1" applyBorder="1" applyAlignment="1">
      <alignment vertical="center"/>
    </xf>
    <xf numFmtId="0" fontId="32" fillId="4" borderId="26" xfId="5" applyFont="1" applyFill="1" applyBorder="1" applyAlignment="1">
      <alignment vertical="center"/>
    </xf>
    <xf numFmtId="0" fontId="28" fillId="4" borderId="29" xfId="5" applyFont="1" applyFill="1" applyBorder="1" applyAlignment="1">
      <alignment horizontal="center" wrapText="1"/>
    </xf>
    <xf numFmtId="0" fontId="6" fillId="8" borderId="4" xfId="5" applyFont="1" applyFill="1" applyBorder="1" applyAlignment="1" applyProtection="1">
      <alignment horizontal="center"/>
      <protection locked="0"/>
    </xf>
    <xf numFmtId="2" fontId="6" fillId="6" borderId="29" xfId="5" applyNumberFormat="1" applyFont="1" applyFill="1" applyBorder="1" applyAlignment="1">
      <alignment horizontal="center"/>
    </xf>
    <xf numFmtId="0" fontId="32" fillId="4" borderId="15" xfId="5" applyFont="1" applyFill="1" applyBorder="1" applyAlignment="1">
      <alignment vertical="center"/>
    </xf>
    <xf numFmtId="0" fontId="28" fillId="4" borderId="20" xfId="5" applyFont="1" applyFill="1" applyBorder="1" applyAlignment="1">
      <alignment horizontal="center" vertical="center" wrapText="1"/>
    </xf>
    <xf numFmtId="9" fontId="6" fillId="6" borderId="13" xfId="3" applyFont="1" applyFill="1" applyBorder="1" applyAlignment="1" applyProtection="1">
      <alignment horizontal="center" vertical="center"/>
    </xf>
    <xf numFmtId="0" fontId="6" fillId="6" borderId="13" xfId="5" applyFont="1" applyFill="1" applyBorder="1" applyAlignment="1">
      <alignment horizontal="center" vertical="center"/>
    </xf>
    <xf numFmtId="9" fontId="6" fillId="6" borderId="32" xfId="3" applyFont="1" applyFill="1" applyBorder="1" applyAlignment="1" applyProtection="1">
      <alignment horizontal="center" vertical="center"/>
    </xf>
    <xf numFmtId="171" fontId="6" fillId="10" borderId="30" xfId="5" applyNumberFormat="1" applyFont="1" applyFill="1" applyBorder="1" applyAlignment="1" applyProtection="1">
      <alignment horizontal="center" vertical="center"/>
      <protection locked="0"/>
    </xf>
    <xf numFmtId="171" fontId="6" fillId="10" borderId="31" xfId="5" applyNumberFormat="1" applyFont="1" applyFill="1" applyBorder="1" applyAlignment="1" applyProtection="1">
      <alignment horizontal="center" vertical="center"/>
      <protection locked="0"/>
    </xf>
    <xf numFmtId="171" fontId="6" fillId="6" borderId="12" xfId="5" applyNumberFormat="1" applyFont="1" applyFill="1" applyBorder="1" applyAlignment="1">
      <alignment horizontal="center" vertical="center"/>
    </xf>
    <xf numFmtId="171" fontId="6" fillId="6" borderId="13" xfId="5" applyNumberFormat="1" applyFont="1" applyFill="1" applyBorder="1" applyAlignment="1">
      <alignment horizontal="center" vertical="center"/>
    </xf>
    <xf numFmtId="172" fontId="6" fillId="10" borderId="30" xfId="5" applyNumberFormat="1" applyFont="1" applyFill="1" applyBorder="1" applyAlignment="1" applyProtection="1">
      <alignment horizontal="center" vertical="center"/>
      <protection locked="0"/>
    </xf>
    <xf numFmtId="2" fontId="6" fillId="6" borderId="12" xfId="5" applyNumberFormat="1" applyFont="1" applyFill="1" applyBorder="1" applyAlignment="1">
      <alignment horizontal="center" vertical="center"/>
    </xf>
    <xf numFmtId="172" fontId="6" fillId="6" borderId="33" xfId="5" applyNumberFormat="1" applyFont="1" applyFill="1" applyBorder="1" applyAlignment="1">
      <alignment horizontal="center" vertical="center"/>
    </xf>
    <xf numFmtId="1" fontId="6" fillId="6" borderId="4" xfId="5" applyNumberFormat="1" applyFont="1" applyFill="1" applyBorder="1" applyAlignment="1">
      <alignment horizontal="center"/>
    </xf>
    <xf numFmtId="0" fontId="6" fillId="9" borderId="4" xfId="5" applyFont="1" applyFill="1" applyBorder="1"/>
    <xf numFmtId="171" fontId="6" fillId="6" borderId="33" xfId="5" applyNumberFormat="1" applyFont="1" applyFill="1" applyBorder="1" applyAlignment="1">
      <alignment horizontal="center" vertical="center"/>
    </xf>
    <xf numFmtId="171" fontId="6" fillId="6" borderId="32" xfId="5" applyNumberFormat="1" applyFont="1" applyFill="1" applyBorder="1" applyAlignment="1">
      <alignment horizontal="center" vertical="center"/>
    </xf>
    <xf numFmtId="0" fontId="25" fillId="5" borderId="0" xfId="5" applyFont="1" applyFill="1" applyAlignment="1">
      <alignment vertical="center"/>
    </xf>
    <xf numFmtId="0" fontId="5" fillId="5" borderId="0" xfId="5" applyFont="1" applyFill="1" applyAlignment="1">
      <alignment vertical="center"/>
    </xf>
    <xf numFmtId="0" fontId="0" fillId="5" borderId="0" xfId="0" applyFill="1"/>
    <xf numFmtId="0" fontId="6" fillId="13" borderId="0" xfId="0" applyFont="1" applyFill="1"/>
    <xf numFmtId="1" fontId="6" fillId="3" borderId="6" xfId="0" applyNumberFormat="1" applyFont="1" applyFill="1" applyBorder="1" applyAlignment="1">
      <alignment horizontal="right" vertical="center"/>
    </xf>
    <xf numFmtId="14" fontId="11" fillId="0" borderId="0" xfId="0" applyNumberFormat="1" applyFont="1"/>
    <xf numFmtId="0" fontId="11" fillId="0" borderId="1" xfId="0" applyFont="1" applyBorder="1"/>
    <xf numFmtId="0" fontId="11" fillId="0" borderId="0" xfId="0" quotePrefix="1" applyFont="1"/>
    <xf numFmtId="2" fontId="30" fillId="4" borderId="0" xfId="0" applyNumberFormat="1" applyFont="1" applyFill="1"/>
    <xf numFmtId="0" fontId="6" fillId="0" borderId="0" xfId="0" applyFont="1" applyAlignment="1">
      <alignment horizontal="right"/>
    </xf>
    <xf numFmtId="0" fontId="6" fillId="8" borderId="5" xfId="0" applyFont="1" applyFill="1" applyBorder="1" applyAlignment="1" applyProtection="1">
      <alignment vertical="center"/>
      <protection locked="0"/>
    </xf>
    <xf numFmtId="169" fontId="6" fillId="8" borderId="0" xfId="0" applyNumberFormat="1" applyFont="1" applyFill="1" applyAlignment="1" applyProtection="1">
      <alignment horizontal="left" vertical="center"/>
      <protection locked="0"/>
    </xf>
    <xf numFmtId="0" fontId="5" fillId="3" borderId="5" xfId="0" applyFont="1" applyFill="1" applyBorder="1" applyAlignment="1">
      <alignment horizontal="center" vertical="center"/>
    </xf>
    <xf numFmtId="0" fontId="6" fillId="5" borderId="0" xfId="0" applyFont="1" applyFill="1" applyAlignment="1">
      <alignment horizontal="left" vertical="top"/>
    </xf>
    <xf numFmtId="0" fontId="6" fillId="8" borderId="16" xfId="0" applyFont="1" applyFill="1" applyBorder="1" applyAlignment="1" applyProtection="1">
      <alignment vertical="center"/>
      <protection locked="0"/>
    </xf>
    <xf numFmtId="0" fontId="7" fillId="7" borderId="0" xfId="0" applyFont="1" applyFill="1" applyAlignment="1" applyProtection="1">
      <alignment vertical="center"/>
      <protection locked="0"/>
    </xf>
    <xf numFmtId="0" fontId="6" fillId="0" borderId="0" xfId="0" applyFont="1" applyAlignment="1">
      <alignment horizontal="left" vertical="top"/>
    </xf>
    <xf numFmtId="0" fontId="32" fillId="4" borderId="21" xfId="0" applyFont="1" applyFill="1" applyBorder="1" applyAlignment="1">
      <alignment vertical="center"/>
    </xf>
    <xf numFmtId="0" fontId="32" fillId="4" borderId="14" xfId="0" applyFont="1" applyFill="1" applyBorder="1" applyAlignment="1">
      <alignment vertical="center"/>
    </xf>
    <xf numFmtId="0" fontId="32" fillId="4" borderId="15" xfId="0" applyFont="1" applyFill="1" applyBorder="1" applyAlignment="1">
      <alignment vertical="center"/>
    </xf>
    <xf numFmtId="0" fontId="32" fillId="4" borderId="21" xfId="0" applyFont="1" applyFill="1" applyBorder="1" applyAlignment="1">
      <alignment vertical="center" wrapText="1"/>
    </xf>
    <xf numFmtId="0" fontId="32" fillId="4" borderId="14" xfId="0" applyFont="1" applyFill="1" applyBorder="1" applyAlignment="1">
      <alignment vertical="center" wrapText="1"/>
    </xf>
    <xf numFmtId="0" fontId="32" fillId="4" borderId="15" xfId="0" applyFont="1" applyFill="1" applyBorder="1" applyAlignment="1">
      <alignment vertical="center" wrapText="1"/>
    </xf>
    <xf numFmtId="0" fontId="32" fillId="4" borderId="25" xfId="5" applyFont="1" applyFill="1" applyBorder="1" applyAlignment="1">
      <alignment vertical="center"/>
    </xf>
    <xf numFmtId="0" fontId="32" fillId="4" borderId="24" xfId="5" applyFont="1" applyFill="1" applyBorder="1" applyAlignment="1">
      <alignment vertical="center"/>
    </xf>
    <xf numFmtId="0" fontId="32" fillId="4" borderId="26" xfId="5" applyFont="1" applyFill="1" applyBorder="1" applyAlignment="1">
      <alignment vertical="center"/>
    </xf>
    <xf numFmtId="0" fontId="5" fillId="6" borderId="6" xfId="5" applyFont="1" applyFill="1" applyBorder="1" applyAlignment="1">
      <alignment horizontal="center" vertical="center"/>
    </xf>
    <xf numFmtId="0" fontId="28" fillId="4" borderId="20" xfId="5" applyFont="1" applyFill="1" applyBorder="1" applyAlignment="1">
      <alignment horizontal="center" vertical="center" wrapText="1"/>
    </xf>
    <xf numFmtId="0" fontId="28" fillId="4" borderId="16" xfId="5" applyFont="1" applyFill="1" applyBorder="1" applyAlignment="1">
      <alignment horizontal="center" vertical="center" wrapText="1"/>
    </xf>
    <xf numFmtId="0" fontId="28" fillId="4" borderId="27" xfId="5" applyFont="1" applyFill="1" applyBorder="1" applyAlignment="1">
      <alignment horizontal="center" vertical="center" wrapText="1"/>
    </xf>
    <xf numFmtId="0" fontId="28" fillId="4" borderId="23" xfId="5" applyFont="1" applyFill="1" applyBorder="1" applyAlignment="1">
      <alignment horizontal="center" vertical="center" wrapText="1"/>
    </xf>
    <xf numFmtId="0" fontId="28" fillId="4" borderId="16" xfId="5" applyFont="1" applyFill="1" applyBorder="1" applyAlignment="1">
      <alignment horizontal="center" vertical="top" wrapText="1"/>
    </xf>
    <xf numFmtId="0" fontId="28" fillId="4" borderId="27" xfId="5" applyFont="1" applyFill="1" applyBorder="1" applyAlignment="1">
      <alignment horizontal="center" vertical="top" wrapText="1"/>
    </xf>
    <xf numFmtId="0" fontId="28" fillId="4" borderId="28" xfId="5" applyFont="1" applyFill="1" applyBorder="1" applyAlignment="1">
      <alignment horizontal="center" vertical="top" wrapText="1"/>
    </xf>
    <xf numFmtId="0" fontId="6" fillId="7" borderId="11" xfId="5" applyFont="1" applyFill="1" applyBorder="1" applyProtection="1">
      <protection locked="0"/>
    </xf>
    <xf numFmtId="0" fontId="6" fillId="7" borderId="6" xfId="5" applyFont="1" applyFill="1" applyBorder="1" applyProtection="1">
      <protection locked="0"/>
    </xf>
    <xf numFmtId="0" fontId="32" fillId="4" borderId="21" xfId="5" applyFont="1" applyFill="1" applyBorder="1" applyAlignment="1">
      <alignment vertical="center"/>
    </xf>
    <xf numFmtId="0" fontId="32" fillId="4" borderId="15" xfId="5" applyFont="1" applyFill="1" applyBorder="1" applyAlignment="1">
      <alignment vertical="center"/>
    </xf>
    <xf numFmtId="0" fontId="28" fillId="4" borderId="27" xfId="5" applyFont="1" applyFill="1" applyBorder="1" applyAlignment="1">
      <alignment horizontal="center" wrapText="1"/>
    </xf>
    <xf numFmtId="0" fontId="28" fillId="4" borderId="28" xfId="5" applyFont="1" applyFill="1" applyBorder="1" applyAlignment="1">
      <alignment horizontal="center" wrapText="1"/>
    </xf>
    <xf numFmtId="0" fontId="8" fillId="7" borderId="11" xfId="5" applyFill="1" applyBorder="1" applyProtection="1">
      <protection locked="0"/>
    </xf>
    <xf numFmtId="0" fontId="8" fillId="7" borderId="6" xfId="5" applyFill="1" applyBorder="1" applyProtection="1">
      <protection locked="0"/>
    </xf>
    <xf numFmtId="0" fontId="32" fillId="4" borderId="21" xfId="5" applyFont="1" applyFill="1" applyBorder="1" applyAlignment="1">
      <alignment horizontal="left" vertical="center"/>
    </xf>
    <xf numFmtId="0" fontId="32" fillId="4" borderId="14" xfId="5" applyFont="1" applyFill="1" applyBorder="1" applyAlignment="1">
      <alignment horizontal="left" vertical="center"/>
    </xf>
    <xf numFmtId="0" fontId="1" fillId="6" borderId="9" xfId="0" applyFont="1" applyFill="1" applyBorder="1" applyAlignment="1" applyProtection="1">
      <alignment horizontal="center" vertical="center" wrapText="1"/>
      <protection hidden="1"/>
    </xf>
    <xf numFmtId="0" fontId="1" fillId="6" borderId="7" xfId="0" applyFont="1" applyFill="1" applyBorder="1" applyAlignment="1" applyProtection="1">
      <alignment horizontal="center" vertical="center" wrapText="1"/>
      <protection hidden="1"/>
    </xf>
    <xf numFmtId="0" fontId="36" fillId="5" borderId="0" xfId="0" applyFont="1" applyFill="1" applyAlignment="1" applyProtection="1">
      <alignment horizontal="left" vertical="center" wrapText="1"/>
      <protection hidden="1"/>
    </xf>
    <xf numFmtId="0" fontId="1" fillId="6" borderId="7" xfId="0" applyFont="1" applyFill="1" applyBorder="1" applyAlignment="1" applyProtection="1">
      <alignment horizontal="center" vertical="center"/>
      <protection hidden="1"/>
    </xf>
    <xf numFmtId="0" fontId="1" fillId="6" borderId="0" xfId="0" applyFont="1" applyFill="1" applyAlignment="1" applyProtection="1">
      <alignment horizontal="center" vertical="center"/>
      <protection hidden="1"/>
    </xf>
  </cellXfs>
  <cellStyles count="7">
    <cellStyle name="Lien hypertexte" xfId="1" builtinId="8"/>
    <cellStyle name="Milliers" xfId="2" builtinId="3"/>
    <cellStyle name="Normal" xfId="0" builtinId="0"/>
    <cellStyle name="Pourcentage" xfId="3" builtinId="5"/>
    <cellStyle name="Standard 2" xfId="4" xr:uid="{00000000-0005-0000-0000-000004000000}"/>
    <cellStyle name="Standard_etool_4_Stand_23_11_05-neu" xfId="5" xr:uid="{00000000-0005-0000-0000-000005000000}"/>
    <cellStyle name="Standard_etool_4_Stand_23_11_05-neu 2" xfId="6" xr:uid="{00000000-0005-0000-0000-000006000000}"/>
  </cellStyles>
  <dxfs count="1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name val="Cambria"/>
        <scheme val="none"/>
      </font>
      <fill>
        <patternFill>
          <bgColor theme="5" tint="0.39994506668294322"/>
        </patternFill>
      </fill>
    </dxf>
    <dxf>
      <fill>
        <patternFill>
          <bgColor rgb="FFFFFF99"/>
        </patternFill>
      </fill>
    </dxf>
    <dxf>
      <fill>
        <patternFill>
          <bgColor rgb="FFABBA62"/>
        </patternFill>
      </fill>
    </dxf>
    <dxf>
      <fill>
        <patternFill>
          <bgColor theme="5"/>
        </patternFill>
      </fill>
    </dxf>
    <dxf>
      <fill>
        <patternFill>
          <bgColor theme="0" tint="-4.9989318521683403E-2"/>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BF8FF"/>
      <rgbColor rgb="0099FF99"/>
      <rgbColor rgb="00FFFFDD"/>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7E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F$2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emf"/><Relationship Id="rId7" Type="http://schemas.openxmlformats.org/officeDocument/2006/relationships/image" Target="../media/image10.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 Id="rId9" Type="http://schemas.openxmlformats.org/officeDocument/2006/relationships/image" Target="../media/image1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5</xdr:col>
      <xdr:colOff>0</xdr:colOff>
      <xdr:row>7</xdr:row>
      <xdr:rowOff>466725</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11420475" y="2038350"/>
          <a:ext cx="0" cy="12382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e-DE" sz="1400" b="1" i="0" u="none" strike="noStrike" baseline="0">
              <a:solidFill>
                <a:srgbClr val="000000"/>
              </a:solidFill>
              <a:latin typeface="Arial"/>
              <a:cs typeface="Arial"/>
            </a:rPr>
            <a:t>Anforderungen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10</xdr:row>
      <xdr:rowOff>0</xdr:rowOff>
    </xdr:from>
    <xdr:to>
      <xdr:col>8</xdr:col>
      <xdr:colOff>0</xdr:colOff>
      <xdr:row>10</xdr:row>
      <xdr:rowOff>0</xdr:rowOff>
    </xdr:to>
    <xdr:sp macro="" textlink="">
      <xdr:nvSpPr>
        <xdr:cNvPr id="7169" name="Text Box 1">
          <a:extLst>
            <a:ext uri="{FF2B5EF4-FFF2-40B4-BE49-F238E27FC236}">
              <a16:creationId xmlns:a16="http://schemas.microsoft.com/office/drawing/2014/main" id="{00000000-0008-0000-0400-0000011C0000}"/>
            </a:ext>
          </a:extLst>
        </xdr:cNvPr>
        <xdr:cNvSpPr txBox="1">
          <a:spLocks noChangeArrowheads="1"/>
        </xdr:cNvSpPr>
      </xdr:nvSpPr>
      <xdr:spPr bwMode="auto">
        <a:xfrm>
          <a:off x="11420475" y="2038350"/>
          <a:ext cx="0" cy="12382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e-DE" sz="1400" b="1" i="0" u="none" strike="noStrike" baseline="0">
              <a:solidFill>
                <a:srgbClr val="000000"/>
              </a:solidFill>
              <a:latin typeface="Arial"/>
              <a:cs typeface="Arial"/>
            </a:rPr>
            <a:t>Anforderungen</a:t>
          </a:r>
        </a:p>
      </xdr:txBody>
    </xdr:sp>
    <xdr:clientData/>
  </xdr:twoCellAnchor>
  <xdr:twoCellAnchor>
    <xdr:from>
      <xdr:col>6</xdr:col>
      <xdr:colOff>0</xdr:colOff>
      <xdr:row>8</xdr:row>
      <xdr:rowOff>123825</xdr:rowOff>
    </xdr:from>
    <xdr:to>
      <xdr:col>6</xdr:col>
      <xdr:colOff>0</xdr:colOff>
      <xdr:row>10</xdr:row>
      <xdr:rowOff>0</xdr:rowOff>
    </xdr:to>
    <xdr:sp macro="" textlink="">
      <xdr:nvSpPr>
        <xdr:cNvPr id="7170" name="Text Box 2">
          <a:extLst>
            <a:ext uri="{FF2B5EF4-FFF2-40B4-BE49-F238E27FC236}">
              <a16:creationId xmlns:a16="http://schemas.microsoft.com/office/drawing/2014/main" id="{00000000-0008-0000-0400-0000021C0000}"/>
            </a:ext>
          </a:extLst>
        </xdr:cNvPr>
        <xdr:cNvSpPr txBox="1">
          <a:spLocks noChangeArrowheads="1"/>
        </xdr:cNvSpPr>
      </xdr:nvSpPr>
      <xdr:spPr bwMode="auto">
        <a:xfrm>
          <a:off x="9410700" y="1905000"/>
          <a:ext cx="0" cy="12382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e-DE" sz="1400" b="1" i="0" u="none" strike="noStrike" baseline="0">
              <a:solidFill>
                <a:srgbClr val="000000"/>
              </a:solidFill>
              <a:latin typeface="Arial"/>
              <a:cs typeface="Arial"/>
            </a:rPr>
            <a:t>Anforderungen</a:t>
          </a:r>
        </a:p>
      </xdr:txBody>
    </xdr:sp>
    <xdr:clientData/>
  </xdr:twoCellAnchor>
  <xdr:twoCellAnchor editAs="oneCell">
    <xdr:from>
      <xdr:col>1</xdr:col>
      <xdr:colOff>352425</xdr:colOff>
      <xdr:row>24</xdr:row>
      <xdr:rowOff>57150</xdr:rowOff>
    </xdr:from>
    <xdr:to>
      <xdr:col>1</xdr:col>
      <xdr:colOff>1905000</xdr:colOff>
      <xdr:row>24</xdr:row>
      <xdr:rowOff>1066800</xdr:rowOff>
    </xdr:to>
    <xdr:pic>
      <xdr:nvPicPr>
        <xdr:cNvPr id="47993" name="Picture 30">
          <a:extLst>
            <a:ext uri="{FF2B5EF4-FFF2-40B4-BE49-F238E27FC236}">
              <a16:creationId xmlns:a16="http://schemas.microsoft.com/office/drawing/2014/main" id="{00000000-0008-0000-0400-000079BB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2225" y="3743325"/>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361950</xdr:colOff>
      <xdr:row>24</xdr:row>
      <xdr:rowOff>57150</xdr:rowOff>
    </xdr:from>
    <xdr:to>
      <xdr:col>2</xdr:col>
      <xdr:colOff>1914525</xdr:colOff>
      <xdr:row>24</xdr:row>
      <xdr:rowOff>1066800</xdr:rowOff>
    </xdr:to>
    <xdr:pic>
      <xdr:nvPicPr>
        <xdr:cNvPr id="47994" name="Picture 31">
          <a:extLst>
            <a:ext uri="{FF2B5EF4-FFF2-40B4-BE49-F238E27FC236}">
              <a16:creationId xmlns:a16="http://schemas.microsoft.com/office/drawing/2014/main" id="{00000000-0008-0000-0400-00007ABB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1550" y="3743325"/>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26</xdr:row>
      <xdr:rowOff>57150</xdr:rowOff>
    </xdr:from>
    <xdr:to>
      <xdr:col>0</xdr:col>
      <xdr:colOff>1895475</xdr:colOff>
      <xdr:row>26</xdr:row>
      <xdr:rowOff>1066800</xdr:rowOff>
    </xdr:to>
    <xdr:pic>
      <xdr:nvPicPr>
        <xdr:cNvPr id="47995" name="Picture 32">
          <a:extLst>
            <a:ext uri="{FF2B5EF4-FFF2-40B4-BE49-F238E27FC236}">
              <a16:creationId xmlns:a16="http://schemas.microsoft.com/office/drawing/2014/main" id="{00000000-0008-0000-0400-00007BBB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2900" y="4933950"/>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361950</xdr:colOff>
      <xdr:row>26</xdr:row>
      <xdr:rowOff>47625</xdr:rowOff>
    </xdr:from>
    <xdr:to>
      <xdr:col>1</xdr:col>
      <xdr:colOff>1914525</xdr:colOff>
      <xdr:row>26</xdr:row>
      <xdr:rowOff>1057275</xdr:rowOff>
    </xdr:to>
    <xdr:pic>
      <xdr:nvPicPr>
        <xdr:cNvPr id="47996" name="Picture 33">
          <a:extLst>
            <a:ext uri="{FF2B5EF4-FFF2-40B4-BE49-F238E27FC236}">
              <a16:creationId xmlns:a16="http://schemas.microsoft.com/office/drawing/2014/main" id="{00000000-0008-0000-0400-00007CBB0000}"/>
            </a:ext>
          </a:extLst>
        </xdr:cNvPr>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0" y="4924425"/>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26</xdr:row>
      <xdr:rowOff>47625</xdr:rowOff>
    </xdr:from>
    <xdr:to>
      <xdr:col>2</xdr:col>
      <xdr:colOff>1924050</xdr:colOff>
      <xdr:row>26</xdr:row>
      <xdr:rowOff>1057275</xdr:rowOff>
    </xdr:to>
    <xdr:pic>
      <xdr:nvPicPr>
        <xdr:cNvPr id="47997" name="Picture 34">
          <a:extLst>
            <a:ext uri="{FF2B5EF4-FFF2-40B4-BE49-F238E27FC236}">
              <a16:creationId xmlns:a16="http://schemas.microsoft.com/office/drawing/2014/main" id="{00000000-0008-0000-0400-00007DBB0000}"/>
            </a:ext>
          </a:extLst>
        </xdr:cNvPr>
        <xdr:cNvPicPr preferRelativeResize="0">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91075" y="4924425"/>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28</xdr:row>
      <xdr:rowOff>47625</xdr:rowOff>
    </xdr:from>
    <xdr:to>
      <xdr:col>0</xdr:col>
      <xdr:colOff>1905000</xdr:colOff>
      <xdr:row>28</xdr:row>
      <xdr:rowOff>1057275</xdr:rowOff>
    </xdr:to>
    <xdr:pic>
      <xdr:nvPicPr>
        <xdr:cNvPr id="47998" name="Picture 35">
          <a:extLst>
            <a:ext uri="{FF2B5EF4-FFF2-40B4-BE49-F238E27FC236}">
              <a16:creationId xmlns:a16="http://schemas.microsoft.com/office/drawing/2014/main" id="{00000000-0008-0000-0400-00007EBB0000}"/>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52425" y="6115050"/>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371475</xdr:colOff>
      <xdr:row>28</xdr:row>
      <xdr:rowOff>47625</xdr:rowOff>
    </xdr:from>
    <xdr:to>
      <xdr:col>1</xdr:col>
      <xdr:colOff>1924050</xdr:colOff>
      <xdr:row>28</xdr:row>
      <xdr:rowOff>1057275</xdr:rowOff>
    </xdr:to>
    <xdr:pic>
      <xdr:nvPicPr>
        <xdr:cNvPr id="47999" name="Picture 36">
          <a:extLst>
            <a:ext uri="{FF2B5EF4-FFF2-40B4-BE49-F238E27FC236}">
              <a16:creationId xmlns:a16="http://schemas.microsoft.com/office/drawing/2014/main" id="{00000000-0008-0000-0400-00007FBB0000}"/>
            </a:ext>
          </a:extLst>
        </xdr:cNvPr>
        <xdr:cNvPicPr preferRelativeResize="0">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581275" y="6115050"/>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28</xdr:row>
      <xdr:rowOff>47625</xdr:rowOff>
    </xdr:from>
    <xdr:to>
      <xdr:col>2</xdr:col>
      <xdr:colOff>1924050</xdr:colOff>
      <xdr:row>28</xdr:row>
      <xdr:rowOff>1057275</xdr:rowOff>
    </xdr:to>
    <xdr:pic>
      <xdr:nvPicPr>
        <xdr:cNvPr id="48000" name="Grafik 10" descr="Schule_viel.JPG">
          <a:extLst>
            <a:ext uri="{FF2B5EF4-FFF2-40B4-BE49-F238E27FC236}">
              <a16:creationId xmlns:a16="http://schemas.microsoft.com/office/drawing/2014/main" id="{00000000-0008-0000-0400-000080BB0000}"/>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791075" y="6115050"/>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24</xdr:row>
      <xdr:rowOff>47625</xdr:rowOff>
    </xdr:from>
    <xdr:to>
      <xdr:col>0</xdr:col>
      <xdr:colOff>1885950</xdr:colOff>
      <xdr:row>24</xdr:row>
      <xdr:rowOff>1057275</xdr:rowOff>
    </xdr:to>
    <xdr:pic>
      <xdr:nvPicPr>
        <xdr:cNvPr id="48001" name="Grafik 11" descr="Wohnen_wenig.JPG">
          <a:extLst>
            <a:ext uri="{FF2B5EF4-FFF2-40B4-BE49-F238E27FC236}">
              <a16:creationId xmlns:a16="http://schemas.microsoft.com/office/drawing/2014/main" id="{00000000-0008-0000-0400-000081BB0000}"/>
            </a:ext>
          </a:extLst>
        </xdr:cNvPr>
        <xdr:cNvPicPr>
          <a:picLocks/>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33375" y="3733800"/>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24</xdr:row>
          <xdr:rowOff>400050</xdr:rowOff>
        </xdr:from>
        <xdr:to>
          <xdr:col>2</xdr:col>
          <xdr:colOff>314325</xdr:colOff>
          <xdr:row>24</xdr:row>
          <xdr:rowOff>619125</xdr:rowOff>
        </xdr:to>
        <xdr:sp macro="" textlink="">
          <xdr:nvSpPr>
            <xdr:cNvPr id="39112" name="Option Button 200" hidden="1">
              <a:extLst>
                <a:ext uri="{63B3BB69-23CF-44E3-9099-C40C66FF867C}">
                  <a14:compatExt spid="_x0000_s39112"/>
                </a:ext>
                <a:ext uri="{FF2B5EF4-FFF2-40B4-BE49-F238E27FC236}">
                  <a16:creationId xmlns:a16="http://schemas.microsoft.com/office/drawing/2014/main" id="{00000000-0008-0000-0400-0000C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419100</xdr:rowOff>
        </xdr:from>
        <xdr:to>
          <xdr:col>2</xdr:col>
          <xdr:colOff>333375</xdr:colOff>
          <xdr:row>26</xdr:row>
          <xdr:rowOff>638175</xdr:rowOff>
        </xdr:to>
        <xdr:sp macro="" textlink="">
          <xdr:nvSpPr>
            <xdr:cNvPr id="39114" name="Option Button 202" hidden="1">
              <a:extLst>
                <a:ext uri="{63B3BB69-23CF-44E3-9099-C40C66FF867C}">
                  <a14:compatExt spid="_x0000_s39114"/>
                </a:ext>
                <a:ext uri="{FF2B5EF4-FFF2-40B4-BE49-F238E27FC236}">
                  <a16:creationId xmlns:a16="http://schemas.microsoft.com/office/drawing/2014/main" id="{00000000-0008-0000-0400-0000C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447675</xdr:rowOff>
        </xdr:from>
        <xdr:to>
          <xdr:col>2</xdr:col>
          <xdr:colOff>314325</xdr:colOff>
          <xdr:row>28</xdr:row>
          <xdr:rowOff>666750</xdr:rowOff>
        </xdr:to>
        <xdr:sp macro="" textlink="">
          <xdr:nvSpPr>
            <xdr:cNvPr id="39115" name="Option Button 203" hidden="1">
              <a:extLst>
                <a:ext uri="{63B3BB69-23CF-44E3-9099-C40C66FF867C}">
                  <a14:compatExt spid="_x0000_s39115"/>
                </a:ext>
                <a:ext uri="{FF2B5EF4-FFF2-40B4-BE49-F238E27FC236}">
                  <a16:creationId xmlns:a16="http://schemas.microsoft.com/office/drawing/2014/main" id="{00000000-0008-0000-0400-0000C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428625</xdr:rowOff>
        </xdr:from>
        <xdr:to>
          <xdr:col>1</xdr:col>
          <xdr:colOff>314325</xdr:colOff>
          <xdr:row>28</xdr:row>
          <xdr:rowOff>647700</xdr:rowOff>
        </xdr:to>
        <xdr:sp macro="" textlink="">
          <xdr:nvSpPr>
            <xdr:cNvPr id="39116" name="Option Button 204" hidden="1">
              <a:extLst>
                <a:ext uri="{63B3BB69-23CF-44E3-9099-C40C66FF867C}">
                  <a14:compatExt spid="_x0000_s39116"/>
                </a:ext>
                <a:ext uri="{FF2B5EF4-FFF2-40B4-BE49-F238E27FC236}">
                  <a16:creationId xmlns:a16="http://schemas.microsoft.com/office/drawing/2014/main" id="{00000000-0008-0000-0400-0000C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419100</xdr:rowOff>
        </xdr:from>
        <xdr:to>
          <xdr:col>0</xdr:col>
          <xdr:colOff>304800</xdr:colOff>
          <xdr:row>28</xdr:row>
          <xdr:rowOff>638175</xdr:rowOff>
        </xdr:to>
        <xdr:sp macro="" textlink="">
          <xdr:nvSpPr>
            <xdr:cNvPr id="39117" name="Option Button 205" hidden="1">
              <a:extLst>
                <a:ext uri="{63B3BB69-23CF-44E3-9099-C40C66FF867C}">
                  <a14:compatExt spid="_x0000_s39117"/>
                </a:ext>
                <a:ext uri="{FF2B5EF4-FFF2-40B4-BE49-F238E27FC236}">
                  <a16:creationId xmlns:a16="http://schemas.microsoft.com/office/drawing/2014/main" id="{00000000-0008-0000-0400-0000C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428625</xdr:rowOff>
        </xdr:from>
        <xdr:to>
          <xdr:col>1</xdr:col>
          <xdr:colOff>314325</xdr:colOff>
          <xdr:row>26</xdr:row>
          <xdr:rowOff>647700</xdr:rowOff>
        </xdr:to>
        <xdr:sp macro="" textlink="">
          <xdr:nvSpPr>
            <xdr:cNvPr id="39118" name="Option Button 206" hidden="1">
              <a:extLst>
                <a:ext uri="{63B3BB69-23CF-44E3-9099-C40C66FF867C}">
                  <a14:compatExt spid="_x0000_s39118"/>
                </a:ext>
                <a:ext uri="{FF2B5EF4-FFF2-40B4-BE49-F238E27FC236}">
                  <a16:creationId xmlns:a16="http://schemas.microsoft.com/office/drawing/2014/main" id="{00000000-0008-0000-0400-0000C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428625</xdr:rowOff>
        </xdr:from>
        <xdr:to>
          <xdr:col>0</xdr:col>
          <xdr:colOff>304800</xdr:colOff>
          <xdr:row>26</xdr:row>
          <xdr:rowOff>647700</xdr:rowOff>
        </xdr:to>
        <xdr:sp macro="" textlink="">
          <xdr:nvSpPr>
            <xdr:cNvPr id="39119" name="Option Button 207" hidden="1">
              <a:extLst>
                <a:ext uri="{63B3BB69-23CF-44E3-9099-C40C66FF867C}">
                  <a14:compatExt spid="_x0000_s39119"/>
                </a:ext>
                <a:ext uri="{FF2B5EF4-FFF2-40B4-BE49-F238E27FC236}">
                  <a16:creationId xmlns:a16="http://schemas.microsoft.com/office/drawing/2014/main" id="{00000000-0008-0000-0400-0000C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438150</xdr:rowOff>
        </xdr:from>
        <xdr:to>
          <xdr:col>0</xdr:col>
          <xdr:colOff>304800</xdr:colOff>
          <xdr:row>24</xdr:row>
          <xdr:rowOff>657225</xdr:rowOff>
        </xdr:to>
        <xdr:sp macro="" textlink="">
          <xdr:nvSpPr>
            <xdr:cNvPr id="39120" name="Option Button 208" hidden="1">
              <a:extLst>
                <a:ext uri="{63B3BB69-23CF-44E3-9099-C40C66FF867C}">
                  <a14:compatExt spid="_x0000_s39120"/>
                </a:ext>
                <a:ext uri="{FF2B5EF4-FFF2-40B4-BE49-F238E27FC236}">
                  <a16:creationId xmlns:a16="http://schemas.microsoft.com/office/drawing/2014/main" id="{00000000-0008-0000-0400-0000D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457200</xdr:rowOff>
        </xdr:from>
        <xdr:to>
          <xdr:col>1</xdr:col>
          <xdr:colOff>304800</xdr:colOff>
          <xdr:row>24</xdr:row>
          <xdr:rowOff>676275</xdr:rowOff>
        </xdr:to>
        <xdr:sp macro="" textlink="">
          <xdr:nvSpPr>
            <xdr:cNvPr id="39121" name="Option Button 209" hidden="1">
              <a:extLst>
                <a:ext uri="{63B3BB69-23CF-44E3-9099-C40C66FF867C}">
                  <a14:compatExt spid="_x0000_s39121"/>
                </a:ext>
                <a:ext uri="{FF2B5EF4-FFF2-40B4-BE49-F238E27FC236}">
                  <a16:creationId xmlns:a16="http://schemas.microsoft.com/office/drawing/2014/main" id="{00000000-0008-0000-0400-0000D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133350</xdr:rowOff>
        </xdr:from>
        <xdr:to>
          <xdr:col>5</xdr:col>
          <xdr:colOff>0</xdr:colOff>
          <xdr:row>5</xdr:row>
          <xdr:rowOff>38100</xdr:rowOff>
        </xdr:to>
        <xdr:sp macro="" textlink="">
          <xdr:nvSpPr>
            <xdr:cNvPr id="40978" name="Button 18" descr="Tabellen umbenennen" hidden="1">
              <a:extLst>
                <a:ext uri="{63B3BB69-23CF-44E3-9099-C40C66FF867C}">
                  <a14:compatExt spid="_x0000_s40978"/>
                </a:ext>
                <a:ext uri="{FF2B5EF4-FFF2-40B4-BE49-F238E27FC236}">
                  <a16:creationId xmlns:a16="http://schemas.microsoft.com/office/drawing/2014/main" id="{00000000-0008-0000-0500-000012A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H" sz="900" b="0" i="0" u="none" strike="noStrike" baseline="0">
                  <a:solidFill>
                    <a:srgbClr val="000000"/>
                  </a:solidFill>
                  <a:latin typeface="Arial"/>
                  <a:cs typeface="Arial"/>
                </a:rPr>
                <a:t>Tabellen und Hilfstexte umbenennen</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6.vml"/><Relationship Id="rId9"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6" tint="-0.249977111117893"/>
    <pageSetUpPr fitToPage="1"/>
  </sheetPr>
  <dimension ref="A1:J90"/>
  <sheetViews>
    <sheetView showGridLines="0" workbookViewId="0">
      <selection activeCell="B8" sqref="B8:D8"/>
    </sheetView>
  </sheetViews>
  <sheetFormatPr baseColWidth="10" defaultColWidth="11.5546875" defaultRowHeight="15" x14ac:dyDescent="0.2"/>
  <cols>
    <col min="1" max="1" width="19" style="127" customWidth="1"/>
    <col min="2" max="2" width="50" style="127" customWidth="1"/>
    <col min="3" max="3" width="16.88671875" style="127" customWidth="1"/>
    <col min="4" max="4" width="3.109375" style="127" customWidth="1"/>
    <col min="5" max="5" width="7.33203125" style="129" customWidth="1"/>
    <col min="6" max="10" width="7.33203125" style="127" customWidth="1"/>
    <col min="11" max="16384" width="11.5546875" style="127"/>
  </cols>
  <sheetData>
    <row r="1" spans="1:10" ht="28.5" customHeight="1" x14ac:dyDescent="0.4">
      <c r="A1" s="70" t="str">
        <f>VLOOKUP(ADDRESS(ROW(),COLUMN(),4),MatrixTexteT1,2,FALSE)&amp;" "&amp;Version</f>
        <v>Tageslicht-Tool Minergie-Eco® Version 2.11</v>
      </c>
      <c r="B1" s="125"/>
      <c r="C1" s="125"/>
      <c r="D1" s="233" t="str">
        <f>VLOOKUP(ADDRESS(ROW(),COLUMN(),4),MatrixTexteT1,2,FALSE)</f>
        <v>Zu verwenden bis 31.12.2022</v>
      </c>
      <c r="E1" s="126"/>
      <c r="F1" s="125"/>
      <c r="G1" s="125"/>
      <c r="H1" s="125"/>
      <c r="I1" s="125"/>
      <c r="J1" s="125"/>
    </row>
    <row r="2" spans="1:10" ht="9" customHeight="1" x14ac:dyDescent="0.2">
      <c r="A2" s="128"/>
      <c r="B2" s="128"/>
      <c r="C2" s="128"/>
      <c r="D2" s="128"/>
    </row>
    <row r="3" spans="1:10" ht="24.75" customHeight="1" x14ac:dyDescent="0.25">
      <c r="A3" s="130" t="str">
        <f>VLOOKUP(ADDRESS(ROW(),COLUMN(),4),MatrixTexteT1,2,FALSE)</f>
        <v>Objektdaten</v>
      </c>
      <c r="B3" s="130"/>
      <c r="C3" s="130"/>
      <c r="D3" s="130"/>
      <c r="E3" s="131"/>
      <c r="F3" s="71"/>
      <c r="G3" s="71"/>
      <c r="H3" s="71"/>
    </row>
    <row r="4" spans="1:10" s="24" customFormat="1" ht="9.75" customHeight="1" x14ac:dyDescent="0.2">
      <c r="A4" s="132"/>
      <c r="B4" s="132"/>
      <c r="C4" s="132"/>
      <c r="D4" s="132"/>
      <c r="E4" s="89"/>
    </row>
    <row r="5" spans="1:10" s="24" customFormat="1" ht="15" customHeight="1" thickBot="1" x14ac:dyDescent="0.25">
      <c r="A5" s="194" t="str">
        <f>VLOOKUP(ADDRESS(ROW(),COLUMN(),4),MatrixTexteT1,2,FALSE)</f>
        <v>Projektbezeichnung</v>
      </c>
      <c r="B5" s="238"/>
      <c r="C5" s="238"/>
      <c r="D5" s="238"/>
      <c r="E5" s="89"/>
    </row>
    <row r="6" spans="1:10" s="24" customFormat="1" ht="15" customHeight="1" thickTop="1" x14ac:dyDescent="0.2">
      <c r="A6" s="89"/>
      <c r="B6" s="234"/>
      <c r="C6" s="234"/>
      <c r="D6" s="234"/>
      <c r="E6" s="89"/>
    </row>
    <row r="7" spans="1:10" s="24" customFormat="1" ht="9" customHeight="1" x14ac:dyDescent="0.2">
      <c r="A7" s="89"/>
      <c r="B7" s="89"/>
      <c r="C7" s="89"/>
      <c r="D7" s="132"/>
      <c r="E7" s="89"/>
    </row>
    <row r="8" spans="1:10" s="24" customFormat="1" ht="15" customHeight="1" x14ac:dyDescent="0.2">
      <c r="A8" s="194" t="str">
        <f>VLOOKUP(ADDRESS(ROW(),COLUMN(),4),MatrixTexteT1,2,FALSE)</f>
        <v>Projekt-Typ</v>
      </c>
      <c r="B8" s="239" t="s">
        <v>22</v>
      </c>
      <c r="C8" s="239"/>
      <c r="D8" s="239"/>
      <c r="E8" s="133"/>
      <c r="G8" s="134"/>
    </row>
    <row r="9" spans="1:10" s="24" customFormat="1" ht="15" customHeight="1" x14ac:dyDescent="0.2">
      <c r="A9" s="89"/>
      <c r="B9" s="135" t="str">
        <f>IF(Typ=Texte!$B$220,Texte!$B$222,Texte!$B$223)</f>
        <v>Bitte direkt Tabellenblätter 'Fenster', 'Tageslicht' und 'Ausblick' ausfüllen</v>
      </c>
      <c r="C9" s="136"/>
      <c r="D9" s="132"/>
      <c r="E9" s="137"/>
      <c r="G9" s="138"/>
    </row>
    <row r="10" spans="1:10" s="24" customFormat="1" ht="9" customHeight="1" x14ac:dyDescent="0.2">
      <c r="A10" s="89"/>
      <c r="B10" s="89"/>
      <c r="C10" s="89"/>
      <c r="D10" s="132"/>
      <c r="E10" s="139"/>
      <c r="G10" s="140"/>
    </row>
    <row r="11" spans="1:10" s="24" customFormat="1" ht="15" customHeight="1" thickBot="1" x14ac:dyDescent="0.25">
      <c r="A11" s="194" t="str">
        <f>VLOOKUP(ADDRESS(ROW(),COLUMN(),4),MatrixTexteT1,2,FALSE)</f>
        <v>Bauherr</v>
      </c>
      <c r="B11" s="238"/>
      <c r="C11" s="238"/>
      <c r="D11" s="238"/>
      <c r="E11" s="89"/>
    </row>
    <row r="12" spans="1:10" s="24" customFormat="1" ht="13.5" thickTop="1" x14ac:dyDescent="0.2">
      <c r="A12" s="89"/>
      <c r="B12" s="234"/>
      <c r="C12" s="234"/>
      <c r="D12" s="234"/>
      <c r="E12" s="89"/>
    </row>
    <row r="13" spans="1:10" s="24" customFormat="1" ht="9" customHeight="1" x14ac:dyDescent="0.2">
      <c r="A13" s="89"/>
      <c r="B13" s="89"/>
      <c r="C13" s="89"/>
      <c r="D13" s="132"/>
      <c r="E13" s="141"/>
    </row>
    <row r="14" spans="1:10" s="24" customFormat="1" ht="15" customHeight="1" thickBot="1" x14ac:dyDescent="0.25">
      <c r="A14" s="194" t="str">
        <f>VLOOKUP(ADDRESS(ROW(),COLUMN(),4),MatrixTexteT1,2,FALSE)</f>
        <v>Architekt</v>
      </c>
      <c r="B14" s="238"/>
      <c r="C14" s="238"/>
      <c r="D14" s="238"/>
      <c r="E14" s="89"/>
    </row>
    <row r="15" spans="1:10" s="24" customFormat="1" ht="15" customHeight="1" thickTop="1" x14ac:dyDescent="0.2">
      <c r="A15" s="89"/>
      <c r="B15" s="234"/>
      <c r="C15" s="234"/>
      <c r="D15" s="234"/>
      <c r="E15" s="89"/>
    </row>
    <row r="16" spans="1:10" s="24" customFormat="1" ht="9" customHeight="1" x14ac:dyDescent="0.2">
      <c r="A16" s="89"/>
      <c r="B16" s="89"/>
      <c r="C16" s="89"/>
      <c r="D16" s="132"/>
      <c r="E16" s="89"/>
    </row>
    <row r="17" spans="1:5" s="24" customFormat="1" ht="15" customHeight="1" thickBot="1" x14ac:dyDescent="0.25">
      <c r="A17" s="194" t="str">
        <f>VLOOKUP(ADDRESS(ROW(),COLUMN(),4),MatrixTexteT1,2,FALSE)</f>
        <v>Elektroplanung</v>
      </c>
      <c r="B17" s="238"/>
      <c r="C17" s="238"/>
      <c r="D17" s="238"/>
      <c r="E17" s="89"/>
    </row>
    <row r="18" spans="1:5" s="143" customFormat="1" ht="15" customHeight="1" thickTop="1" x14ac:dyDescent="0.2">
      <c r="A18" s="89"/>
      <c r="B18" s="234"/>
      <c r="C18" s="234"/>
      <c r="D18" s="234"/>
      <c r="E18" s="142"/>
    </row>
    <row r="19" spans="1:5" s="24" customFormat="1" ht="9" customHeight="1" x14ac:dyDescent="0.2">
      <c r="A19" s="89"/>
      <c r="B19" s="89"/>
      <c r="C19" s="89"/>
      <c r="D19" s="132"/>
      <c r="E19" s="89"/>
    </row>
    <row r="20" spans="1:5" s="24" customFormat="1" ht="15" customHeight="1" thickBot="1" x14ac:dyDescent="0.25">
      <c r="A20" s="194" t="str">
        <f>VLOOKUP(ADDRESS(ROW(),COLUMN(),4),MatrixTexteT1,2,FALSE)</f>
        <v>Beleuchtungsplanung</v>
      </c>
      <c r="B20" s="238"/>
      <c r="C20" s="238"/>
      <c r="D20" s="238"/>
      <c r="E20" s="89"/>
    </row>
    <row r="21" spans="1:5" s="24" customFormat="1" ht="15" customHeight="1" thickTop="1" x14ac:dyDescent="0.2">
      <c r="A21" s="89"/>
      <c r="B21" s="234"/>
      <c r="C21" s="234"/>
      <c r="D21" s="234"/>
      <c r="E21" s="89"/>
    </row>
    <row r="22" spans="1:5" s="24" customFormat="1" ht="9" customHeight="1" x14ac:dyDescent="0.2">
      <c r="A22" s="89"/>
      <c r="B22" s="89"/>
      <c r="C22" s="89"/>
      <c r="D22" s="132"/>
      <c r="E22" s="89"/>
    </row>
    <row r="23" spans="1:5" s="24" customFormat="1" ht="15" customHeight="1" thickBot="1" x14ac:dyDescent="0.25">
      <c r="A23" s="194" t="str">
        <f>VLOOKUP(ADDRESS(ROW(),COLUMN(),4),MatrixTexteT1,2,FALSE)</f>
        <v>Ersteller Nachweis</v>
      </c>
      <c r="B23" s="238"/>
      <c r="C23" s="238"/>
      <c r="D23" s="238"/>
      <c r="E23" s="89"/>
    </row>
    <row r="24" spans="1:5" s="24" customFormat="1" ht="15" customHeight="1" thickTop="1" x14ac:dyDescent="0.2">
      <c r="A24" s="89"/>
      <c r="B24" s="234"/>
      <c r="C24" s="234"/>
      <c r="D24" s="234"/>
      <c r="E24" s="89"/>
    </row>
    <row r="25" spans="1:5" s="24" customFormat="1" ht="9" customHeight="1" x14ac:dyDescent="0.2">
      <c r="A25" s="89"/>
      <c r="B25" s="89"/>
      <c r="C25" s="89"/>
      <c r="D25" s="144"/>
      <c r="E25" s="89"/>
    </row>
    <row r="26" spans="1:5" s="24" customFormat="1" ht="15" customHeight="1" x14ac:dyDescent="0.2">
      <c r="A26" s="194" t="str">
        <f>VLOOKUP(ADDRESS(ROW(),COLUMN(),4),MatrixTexteT1,2,FALSE)</f>
        <v>Datum</v>
      </c>
      <c r="B26" s="235"/>
      <c r="C26" s="235"/>
      <c r="D26" s="235"/>
      <c r="E26" s="89"/>
    </row>
    <row r="27" spans="1:5" s="24" customFormat="1" ht="25.5" customHeight="1" x14ac:dyDescent="0.2">
      <c r="A27" s="89"/>
      <c r="B27" s="89"/>
      <c r="C27" s="89"/>
      <c r="D27" s="144"/>
      <c r="E27" s="89"/>
    </row>
    <row r="28" spans="1:5" s="146" customFormat="1" ht="25.5" customHeight="1" x14ac:dyDescent="0.2">
      <c r="A28" s="130" t="str">
        <f>VLOOKUP(ADDRESS(ROW(),COLUMN(),4),MatrixTexteT1,2,FALSE)</f>
        <v>Zusammenfassung der Ergebnisse Tageslicht</v>
      </c>
      <c r="B28" s="145"/>
      <c r="C28" s="145"/>
      <c r="D28" s="145"/>
      <c r="E28" s="132"/>
    </row>
    <row r="29" spans="1:5" ht="9.75" customHeight="1" x14ac:dyDescent="0.2">
      <c r="A29" s="132"/>
      <c r="B29" s="132"/>
      <c r="C29" s="132"/>
      <c r="D29" s="132"/>
    </row>
    <row r="30" spans="1:5" ht="15.75" thickBot="1" x14ac:dyDescent="0.25">
      <c r="A30" s="147" t="str">
        <f>VLOOKUP(ADDRESS(ROW(),COLUMN(),4),MatrixTexteT1,2,FALSE)</f>
        <v>Erfasste Raumfläche total</v>
      </c>
      <c r="B30" s="147"/>
      <c r="C30" s="148">
        <f>Tageslicht!N38</f>
        <v>0</v>
      </c>
      <c r="D30" s="147" t="s">
        <v>145</v>
      </c>
    </row>
    <row r="31" spans="1:5" ht="16.5" thickTop="1" thickBot="1" x14ac:dyDescent="0.25">
      <c r="A31" s="149" t="str">
        <f>VLOOKUP(ADDRESS(ROW(),COLUMN(),4),MatrixTexteT1,2,FALSE)</f>
        <v>Raumfläche mit ungenügendem Ergebnis</v>
      </c>
      <c r="B31" s="149"/>
      <c r="C31" s="150">
        <f>Tageslicht!N39</f>
        <v>0</v>
      </c>
      <c r="D31" s="149" t="s">
        <v>145</v>
      </c>
    </row>
    <row r="32" spans="1:5" ht="16.5" thickTop="1" thickBot="1" x14ac:dyDescent="0.25">
      <c r="A32" s="149" t="str">
        <f>Tageslicht!B39</f>
        <v>Anteil der Raumfläche mit ungenügendem Ergebnis (maximal 20%)</v>
      </c>
      <c r="B32" s="149"/>
      <c r="C32" s="151">
        <f>Tageslicht!P39</f>
        <v>0</v>
      </c>
      <c r="D32" s="149" t="s">
        <v>142</v>
      </c>
    </row>
    <row r="33" spans="1:5" ht="16.5" thickTop="1" thickBot="1" x14ac:dyDescent="0.25">
      <c r="A33" s="149" t="str">
        <f>Tageslicht!B38</f>
        <v>Tageslicht-Erfüllungsgrad über alle Räume (Erfüllungsgrad mindestens 50%)</v>
      </c>
      <c r="B33" s="149"/>
      <c r="C33" s="151">
        <f>Tageslicht!P38</f>
        <v>0</v>
      </c>
      <c r="D33" s="149" t="s">
        <v>142</v>
      </c>
    </row>
    <row r="34" spans="1:5" ht="25.5" customHeight="1" thickTop="1" x14ac:dyDescent="0.2">
      <c r="A34" s="202" t="str">
        <f>VLOOKUP(ADDRESS(ROW(),COLUMN(),4),MatrixTexteT1,2,FALSE)</f>
        <v>Die Anforderungen von Minergie-Eco sind</v>
      </c>
      <c r="B34" s="201"/>
      <c r="C34" s="236" t="str">
        <f>Tageslicht!N40</f>
        <v>nicht erfüllt</v>
      </c>
      <c r="D34" s="236"/>
    </row>
    <row r="35" spans="1:5" ht="25.5" customHeight="1" x14ac:dyDescent="0.2">
      <c r="A35" s="89"/>
      <c r="B35" s="89"/>
      <c r="C35" s="89"/>
      <c r="D35" s="89"/>
    </row>
    <row r="36" spans="1:5" s="146" customFormat="1" ht="25.5" customHeight="1" x14ac:dyDescent="0.2">
      <c r="A36" s="130" t="str">
        <f>VLOOKUP(ADDRESS(ROW(),COLUMN(),4),MatrixTexteT1,2,FALSE)</f>
        <v>Zusammenfassung der Ergebnisse Ausblick</v>
      </c>
      <c r="B36" s="145"/>
      <c r="C36" s="145"/>
      <c r="D36" s="145"/>
      <c r="E36" s="132"/>
    </row>
    <row r="37" spans="1:5" ht="9.75" customHeight="1" x14ac:dyDescent="0.2">
      <c r="A37" s="132"/>
      <c r="B37" s="132"/>
      <c r="C37" s="132"/>
      <c r="D37" s="132"/>
    </row>
    <row r="38" spans="1:5" ht="15.75" thickBot="1" x14ac:dyDescent="0.25">
      <c r="A38" s="147" t="str">
        <f>VLOOKUP(ADDRESS(ROW(),COLUMN(),4),MatrixTexteT1,2,FALSE)</f>
        <v>Erfasste Raumfläche total</v>
      </c>
      <c r="B38" s="147"/>
      <c r="C38" s="148">
        <f>Ausblick!G38</f>
        <v>0</v>
      </c>
      <c r="D38" s="147" t="s">
        <v>145</v>
      </c>
    </row>
    <row r="39" spans="1:5" ht="16.5" thickTop="1" thickBot="1" x14ac:dyDescent="0.25">
      <c r="A39" s="149" t="str">
        <f>VLOOKUP(ADDRESS(ROW(),COLUMN(),4),MatrixTexteT1,2,FALSE)</f>
        <v>Raumfläche mit ungenügendem Ergebnis</v>
      </c>
      <c r="B39" s="149"/>
      <c r="C39" s="150">
        <f>Ausblick!G39</f>
        <v>0</v>
      </c>
      <c r="D39" s="149" t="s">
        <v>145</v>
      </c>
    </row>
    <row r="40" spans="1:5" ht="16.5" thickTop="1" thickBot="1" x14ac:dyDescent="0.25">
      <c r="A40" s="149" t="str">
        <f>Ausblick!B39</f>
        <v>Anteil der Raumfläche mit ungenügendem Ergebnis (maximal 20%)</v>
      </c>
      <c r="B40" s="149"/>
      <c r="C40" s="151">
        <f>Ausblick!H39*100</f>
        <v>0</v>
      </c>
      <c r="D40" s="149" t="s">
        <v>142</v>
      </c>
    </row>
    <row r="41" spans="1:5" ht="16.5" thickTop="1" thickBot="1" x14ac:dyDescent="0.25">
      <c r="A41" s="149" t="str">
        <f>Ausblick!B38</f>
        <v>Qualität des Ausblicks (über alle Räume)</v>
      </c>
      <c r="B41" s="149"/>
      <c r="C41" s="228" t="str">
        <f>Ausblick!H38</f>
        <v>Ungenügend</v>
      </c>
      <c r="D41" s="149"/>
    </row>
    <row r="42" spans="1:5" ht="25.5" customHeight="1" thickTop="1" x14ac:dyDescent="0.2">
      <c r="A42" s="202" t="str">
        <f>VLOOKUP(ADDRESS(ROW(),COLUMN(),4),MatrixTexteT1,2,FALSE)</f>
        <v>Die Anforderungen von Minergie-Eco sind</v>
      </c>
      <c r="B42" s="201"/>
      <c r="C42" s="236" t="str">
        <f>Ausblick!G40</f>
        <v>nicht erfüllt</v>
      </c>
      <c r="D42" s="236"/>
    </row>
    <row r="43" spans="1:5" ht="25.5" customHeight="1" x14ac:dyDescent="0.2">
      <c r="A43" s="89"/>
      <c r="B43" s="89"/>
      <c r="C43" s="89"/>
      <c r="D43" s="89"/>
    </row>
    <row r="44" spans="1:5" ht="26.25" customHeight="1" x14ac:dyDescent="0.2">
      <c r="A44" s="130" t="str">
        <f>VLOOKUP(ADDRESS(ROW(),COLUMN(),4),MatrixTexteT1,2,FALSE)</f>
        <v>Kurzanleitung</v>
      </c>
      <c r="B44" s="145"/>
      <c r="C44" s="145"/>
      <c r="D44" s="152" t="str">
        <f>VLOOKUP(ADDRESS(ROW(),COLUMN(),4),MatrixTexteT1,2,FALSE)</f>
        <v xml:space="preserve">Eine ausführliche Anleitung finden Sie auf der Minergie-Website.  </v>
      </c>
    </row>
    <row r="45" spans="1:5" ht="9" customHeight="1" x14ac:dyDescent="0.2">
      <c r="A45" s="89"/>
      <c r="B45" s="153"/>
      <c r="C45" s="153"/>
      <c r="D45" s="154"/>
    </row>
    <row r="46" spans="1:5" s="156" customFormat="1" ht="16.5" customHeight="1" x14ac:dyDescent="0.2">
      <c r="A46" s="240" t="str">
        <f t="shared" ref="A46:A55" si="0">VLOOKUP(ADDRESS(ROW(),COLUMN(),4),MatrixTexteT1,2,FALSE)</f>
        <v>Erfassen Sie zuerst die Objektdaten in diesem Blatt.</v>
      </c>
      <c r="B46" s="240"/>
      <c r="C46" s="240"/>
      <c r="D46" s="240"/>
      <c r="E46" s="155"/>
    </row>
    <row r="47" spans="1:5" s="156" customFormat="1" ht="16.5" customHeight="1" x14ac:dyDescent="0.2">
      <c r="A47" s="237" t="str">
        <f t="shared" si="0"/>
        <v>Falls es sich beim Objekt um eine Modernisierung handelt, gehen Sie zum Blatt 'Fragenkatalog_Modernisierung' und füllen dieses aus.</v>
      </c>
      <c r="B47" s="237"/>
      <c r="C47" s="237"/>
      <c r="D47" s="237"/>
      <c r="E47" s="155"/>
    </row>
    <row r="48" spans="1:5" s="156" customFormat="1" ht="16.5" customHeight="1" x14ac:dyDescent="0.2">
      <c r="A48" s="237" t="str">
        <f t="shared" si="0"/>
        <v>Falls es sich beim Objekt um einen Neubau handelt, gehen Sie zum Blatt 'Fenster'.</v>
      </c>
      <c r="B48" s="237"/>
      <c r="C48" s="237"/>
      <c r="D48" s="237"/>
      <c r="E48" s="155"/>
    </row>
    <row r="49" spans="1:5" s="156" customFormat="1" ht="16.5" customHeight="1" x14ac:dyDescent="0.2">
      <c r="A49" s="237" t="str">
        <f t="shared" si="0"/>
        <v>Anschliessend geben Sie die Fensterdaten des Gebäudes in der Tabelle 'Fenster' ein.</v>
      </c>
      <c r="B49" s="237"/>
      <c r="C49" s="237"/>
      <c r="D49" s="237"/>
      <c r="E49" s="155"/>
    </row>
    <row r="50" spans="1:5" s="156" customFormat="1" ht="16.5" customHeight="1" x14ac:dyDescent="0.2">
      <c r="A50" s="237" t="str">
        <f t="shared" si="0"/>
        <v>Als nächsten Schritt erfassen Sie die Raumdaten und die im Raum verwendeten Fenster im Blatt 'Tageslicht'.</v>
      </c>
      <c r="B50" s="237"/>
      <c r="C50" s="237"/>
      <c r="D50" s="237"/>
      <c r="E50" s="155"/>
    </row>
    <row r="51" spans="1:5" s="156" customFormat="1" ht="16.5" customHeight="1" x14ac:dyDescent="0.2">
      <c r="A51" s="237" t="str">
        <f t="shared" si="0"/>
        <v>Zuletzt erfassen Sie den Ausblick pro Raum im Blatt 'Ausblick'.</v>
      </c>
      <c r="B51" s="237"/>
      <c r="C51" s="237"/>
      <c r="D51" s="237"/>
      <c r="E51" s="155"/>
    </row>
    <row r="52" spans="1:5" s="156" customFormat="1" ht="16.5" customHeight="1" x14ac:dyDescent="0.2">
      <c r="A52" s="237" t="str">
        <f t="shared" si="0"/>
        <v>Bitte beachten Sie die beim Anklicken der Eingabefelder erscheinenden Hilfstexte.</v>
      </c>
      <c r="B52" s="237"/>
      <c r="C52" s="237"/>
      <c r="D52" s="237"/>
      <c r="E52" s="155"/>
    </row>
    <row r="53" spans="1:5" s="156" customFormat="1" ht="16.5" customHeight="1" x14ac:dyDescent="0.2">
      <c r="A53" s="237" t="str">
        <f t="shared" si="0"/>
        <v>Die Ergebnisse werden unten auf der Seite im Blatt 'Tageslicht' und im Blatt 'Überblick' ausgegeben.</v>
      </c>
      <c r="B53" s="237"/>
      <c r="C53" s="237"/>
      <c r="D53" s="237"/>
      <c r="E53" s="155"/>
    </row>
    <row r="54" spans="1:5" s="156" customFormat="1" ht="16.5" customHeight="1" x14ac:dyDescent="0.2">
      <c r="A54" s="237" t="str">
        <f t="shared" si="0"/>
        <v>Falls eine Tabelle nicht ausreichen sollte, so können Sie die Ergebnisse von anderen Blättern unten im Blatt 'Tageslicht' eintragen.</v>
      </c>
      <c r="B54" s="237"/>
      <c r="C54" s="237"/>
      <c r="D54" s="237"/>
      <c r="E54" s="155"/>
    </row>
    <row r="55" spans="1:5" s="156" customFormat="1" ht="16.5" customHeight="1" x14ac:dyDescent="0.2">
      <c r="A55" s="237" t="str">
        <f t="shared" si="0"/>
        <v>Bei Fragen zu Zertifizierungsobjekten steht Ihnen die zuständige Zertifizierungsstelle gerne zur Verfügung.</v>
      </c>
      <c r="B55" s="237"/>
      <c r="C55" s="237"/>
      <c r="D55" s="237"/>
      <c r="E55" s="155"/>
    </row>
    <row r="56" spans="1:5" x14ac:dyDescent="0.2">
      <c r="A56" s="129"/>
      <c r="B56" s="129"/>
      <c r="C56" s="129"/>
      <c r="D56" s="129"/>
    </row>
    <row r="90" spans="1:1" x14ac:dyDescent="0.2">
      <c r="A90" s="157">
        <v>5</v>
      </c>
    </row>
  </sheetData>
  <sheetProtection selectLockedCells="1"/>
  <mergeCells count="26">
    <mergeCell ref="A53:D53"/>
    <mergeCell ref="A49:D49"/>
    <mergeCell ref="A50:D50"/>
    <mergeCell ref="A52:D52"/>
    <mergeCell ref="A54:D54"/>
    <mergeCell ref="A55:D55"/>
    <mergeCell ref="B5:D5"/>
    <mergeCell ref="B6:D6"/>
    <mergeCell ref="B8:D8"/>
    <mergeCell ref="B11:D11"/>
    <mergeCell ref="B12:D12"/>
    <mergeCell ref="A48:D48"/>
    <mergeCell ref="B14:D14"/>
    <mergeCell ref="B15:D15"/>
    <mergeCell ref="B17:D17"/>
    <mergeCell ref="B18:D18"/>
    <mergeCell ref="A46:D46"/>
    <mergeCell ref="A47:D47"/>
    <mergeCell ref="B20:D20"/>
    <mergeCell ref="B21:D21"/>
    <mergeCell ref="B23:D23"/>
    <mergeCell ref="B24:D24"/>
    <mergeCell ref="B26:D26"/>
    <mergeCell ref="C34:D34"/>
    <mergeCell ref="C42:D42"/>
    <mergeCell ref="A51:D51"/>
  </mergeCells>
  <phoneticPr fontId="0" type="noConversion"/>
  <dataValidations count="1">
    <dataValidation type="list" allowBlank="1" showInputMessage="1" showErrorMessage="1" sqref="B8:D8" xr:uid="{00000000-0002-0000-0000-000000000000}">
      <formula1>ListProjekttyp</formula1>
    </dataValidation>
  </dataValidations>
  <printOptions horizontalCentered="1"/>
  <pageMargins left="0.59055118110236227" right="0.59055118110236227" top="0.94488188976377963" bottom="0.59055118110236227" header="0.59055118110236227" footer="0.39370078740157483"/>
  <pageSetup paperSize="9" scale="85" orientation="portrait" horizontalDpi="4294967292" verticalDpi="300" r:id="rId1"/>
  <headerFooter>
    <oddHeader>&amp;R&amp;G</oddHeader>
    <oddFooter>&amp;L&amp;10&amp;F&amp;R&amp;10&amp;P von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CBDE90"/>
    <pageSetUpPr fitToPage="1"/>
  </sheetPr>
  <dimension ref="A1:R41"/>
  <sheetViews>
    <sheetView showGridLines="0" workbookViewId="0">
      <selection activeCell="H11" sqref="H11"/>
    </sheetView>
  </sheetViews>
  <sheetFormatPr baseColWidth="10" defaultColWidth="11.5546875" defaultRowHeight="12.75" x14ac:dyDescent="0.2"/>
  <cols>
    <col min="1" max="1" width="2.6640625" style="26" customWidth="1"/>
    <col min="2" max="2" width="5.33203125" style="26" customWidth="1"/>
    <col min="3" max="3" width="17.6640625" style="26" customWidth="1"/>
    <col min="4" max="5" width="5.33203125" style="26" customWidth="1"/>
    <col min="6" max="6" width="7.21875" style="26" bestFit="1" customWidth="1"/>
    <col min="7" max="7" width="6.109375" style="26" customWidth="1"/>
    <col min="8" max="8" width="7.33203125" style="26" bestFit="1" customWidth="1"/>
    <col min="9" max="9" width="8.44140625" style="26" bestFit="1" customWidth="1"/>
    <col min="10" max="10" width="6.5546875" style="26" bestFit="1" customWidth="1"/>
    <col min="11" max="11" width="32.21875" style="26" customWidth="1"/>
    <col min="12" max="12" width="31.5546875" style="26" customWidth="1"/>
    <col min="13" max="13" width="41" style="26" customWidth="1"/>
    <col min="14" max="18" width="10.44140625" style="26" hidden="1" customWidth="1"/>
    <col min="19" max="16384" width="11.5546875" style="26"/>
  </cols>
  <sheetData>
    <row r="1" spans="1:18" ht="28.5" customHeight="1" x14ac:dyDescent="0.2">
      <c r="A1" s="120" t="str">
        <f>IF(Projektbez="","",Projektbez&amp;" - ")&amp;Texte!B39</f>
        <v>Fensterdaten</v>
      </c>
    </row>
    <row r="2" spans="1:18" ht="9" customHeight="1" x14ac:dyDescent="0.2">
      <c r="B2" s="158">
        <v>1</v>
      </c>
      <c r="C2" s="158">
        <v>2</v>
      </c>
      <c r="D2" s="158">
        <v>3</v>
      </c>
      <c r="E2" s="158">
        <v>4</v>
      </c>
      <c r="F2" s="158">
        <v>5</v>
      </c>
      <c r="G2" s="158">
        <v>6</v>
      </c>
      <c r="H2" s="158">
        <v>7</v>
      </c>
      <c r="I2" s="158">
        <v>8</v>
      </c>
      <c r="J2" s="158">
        <v>9</v>
      </c>
      <c r="K2" s="158">
        <v>10</v>
      </c>
      <c r="L2" s="158">
        <v>11</v>
      </c>
      <c r="M2" s="158">
        <v>12</v>
      </c>
      <c r="N2" s="158">
        <v>13</v>
      </c>
      <c r="O2" s="158">
        <v>14</v>
      </c>
      <c r="P2" s="158">
        <v>15</v>
      </c>
      <c r="Q2" s="158">
        <v>16</v>
      </c>
      <c r="R2" s="158">
        <v>17</v>
      </c>
    </row>
    <row r="3" spans="1:18" ht="18.75" customHeight="1" x14ac:dyDescent="0.2">
      <c r="A3" s="159"/>
      <c r="B3" s="241" t="str">
        <f>VLOOKUP(ADDRESS(ROW(),COLUMN(),4),MatrixTexteT2,2,FALSE)</f>
        <v>Fensterdaten</v>
      </c>
      <c r="C3" s="242"/>
      <c r="D3" s="242"/>
      <c r="E3" s="242"/>
      <c r="F3" s="242"/>
      <c r="G3" s="242"/>
      <c r="H3" s="242"/>
      <c r="I3" s="242"/>
      <c r="J3" s="243"/>
      <c r="K3" s="244" t="str">
        <f>VLOOKUP(ADDRESS(ROW(),COLUMN(),4),MatrixTexteT2,2,FALSE)</f>
        <v>Sonnenschutz und Verschattung</v>
      </c>
      <c r="L3" s="245"/>
      <c r="M3" s="246"/>
      <c r="N3" s="241" t="s">
        <v>149</v>
      </c>
      <c r="O3" s="242"/>
      <c r="P3" s="242"/>
      <c r="Q3" s="242"/>
      <c r="R3" s="242"/>
    </row>
    <row r="4" spans="1:18" ht="45.75" customHeight="1" thickBot="1" x14ac:dyDescent="0.35">
      <c r="A4" s="186" t="s">
        <v>753</v>
      </c>
      <c r="B4" s="160" t="str">
        <f>VLOOKUP(ADDRESS(ROW(),COLUMN(),4),MatrixTexteT2,2,FALSE)</f>
        <v>Kürzel
-</v>
      </c>
      <c r="C4" s="160" t="str">
        <f t="shared" ref="C4:J4" si="0">VLOOKUP(ADDRESS(ROW(),COLUMN(),4),MatrixTexteT2,2,FALSE)</f>
        <v>Bezeichnung
-</v>
      </c>
      <c r="D4" s="161" t="str">
        <f t="shared" si="0"/>
        <v>Breite
m</v>
      </c>
      <c r="E4" s="161" t="str">
        <f t="shared" si="0"/>
        <v>Höhe
m</v>
      </c>
      <c r="F4" s="161" t="str">
        <f t="shared" si="0"/>
        <v>Glasanteil
%</v>
      </c>
      <c r="G4" s="161" t="str">
        <f t="shared" si="0"/>
        <v>Tau
%</v>
      </c>
      <c r="H4" s="161" t="str">
        <f t="shared" si="0"/>
        <v>Sturzhöhe
m</v>
      </c>
      <c r="I4" s="161" t="str">
        <f t="shared" si="0"/>
        <v>Auskragung
m</v>
      </c>
      <c r="J4" s="161" t="str">
        <f t="shared" si="0"/>
        <v>Oberlicht
-</v>
      </c>
      <c r="K4" s="160" t="str">
        <f>VLOOKUP(ADDRESS(ROW(),COLUMN(),4),MatrixTexteT2,2,FALSE)</f>
        <v>Typ
-</v>
      </c>
      <c r="L4" s="160" t="str">
        <f>VLOOKUP(ADDRESS(ROW(),COLUMN(),4),MatrixTexteT2,2,FALSE)</f>
        <v>Steuerung
-</v>
      </c>
      <c r="M4" s="160" t="str">
        <f>VLOOKUP(ADDRESS(ROW(),COLUMN(),4),MatrixTexteT2,2,FALSE)</f>
        <v>Verschattung
-</v>
      </c>
      <c r="N4" s="160" t="s">
        <v>146</v>
      </c>
      <c r="O4" s="160" t="s">
        <v>78</v>
      </c>
      <c r="P4" s="160" t="s">
        <v>82</v>
      </c>
      <c r="Q4" s="160" t="s">
        <v>114</v>
      </c>
      <c r="R4" s="41" t="s">
        <v>147</v>
      </c>
    </row>
    <row r="5" spans="1:18" ht="14.25" thickTop="1" thickBot="1" x14ac:dyDescent="0.25">
      <c r="A5" s="162">
        <v>1</v>
      </c>
      <c r="B5" s="170"/>
      <c r="C5" s="170"/>
      <c r="D5" s="171"/>
      <c r="E5" s="191"/>
      <c r="F5" s="172"/>
      <c r="G5" s="172"/>
      <c r="H5" s="171"/>
      <c r="I5" s="173"/>
      <c r="J5" s="174"/>
      <c r="K5" s="175" t="s">
        <v>105</v>
      </c>
      <c r="L5" s="175"/>
      <c r="M5" s="175"/>
      <c r="N5" s="163">
        <f t="shared" ref="N5:N34" si="1">IF(J5=Ja,ROUND(D5*E5*F5*2,2),ROUND(D5*E5*F5,2))</f>
        <v>0</v>
      </c>
      <c r="O5" s="164">
        <f t="shared" ref="O5:O34" si="2">IF(K5="",0,VLOOKUP(K5,MatrixSoSchu,2,FALSE))</f>
        <v>1.2</v>
      </c>
      <c r="P5" s="164">
        <f t="shared" ref="P5:P34" si="3">IF(L5="",0,VLOOKUP(L5,MatrixSoControl,2,FALSE))</f>
        <v>0</v>
      </c>
      <c r="Q5" s="164">
        <f t="shared" ref="Q5:Q34" si="4">IF(M5="",0,VLOOKUP(M5,MatrixHorizont,2,FALSE))</f>
        <v>0</v>
      </c>
      <c r="R5" s="164">
        <f>ROUND(IF(I5&gt;2,2,1/(1-(0.25*I5))),2)</f>
        <v>1</v>
      </c>
    </row>
    <row r="6" spans="1:18" ht="14.25" thickTop="1" thickBot="1" x14ac:dyDescent="0.25">
      <c r="A6" s="165">
        <v>2</v>
      </c>
      <c r="B6" s="176"/>
      <c r="C6" s="176"/>
      <c r="D6" s="177"/>
      <c r="E6" s="192"/>
      <c r="F6" s="178"/>
      <c r="G6" s="178"/>
      <c r="H6" s="177"/>
      <c r="I6" s="179"/>
      <c r="J6" s="174"/>
      <c r="K6" s="175"/>
      <c r="L6" s="175"/>
      <c r="M6" s="175"/>
      <c r="N6" s="163">
        <f t="shared" si="1"/>
        <v>0</v>
      </c>
      <c r="O6" s="167">
        <f t="shared" si="2"/>
        <v>0</v>
      </c>
      <c r="P6" s="167">
        <f t="shared" si="3"/>
        <v>0</v>
      </c>
      <c r="Q6" s="167">
        <f t="shared" si="4"/>
        <v>0</v>
      </c>
      <c r="R6" s="167">
        <f t="shared" ref="R6:R34" si="5">ROUND(IF(I6&gt;2,2,1/(1-(0.25*I6))),2)</f>
        <v>1</v>
      </c>
    </row>
    <row r="7" spans="1:18" ht="14.25" thickTop="1" thickBot="1" x14ac:dyDescent="0.25">
      <c r="A7" s="165">
        <v>3</v>
      </c>
      <c r="B7" s="176"/>
      <c r="C7" s="176"/>
      <c r="D7" s="177"/>
      <c r="E7" s="192"/>
      <c r="F7" s="178"/>
      <c r="G7" s="178"/>
      <c r="H7" s="177"/>
      <c r="I7" s="179"/>
      <c r="J7" s="174"/>
      <c r="K7" s="175"/>
      <c r="L7" s="175"/>
      <c r="M7" s="175"/>
      <c r="N7" s="163">
        <f t="shared" si="1"/>
        <v>0</v>
      </c>
      <c r="O7" s="167">
        <f t="shared" si="2"/>
        <v>0</v>
      </c>
      <c r="P7" s="167">
        <f t="shared" si="3"/>
        <v>0</v>
      </c>
      <c r="Q7" s="167">
        <f t="shared" si="4"/>
        <v>0</v>
      </c>
      <c r="R7" s="167">
        <f t="shared" si="5"/>
        <v>1</v>
      </c>
    </row>
    <row r="8" spans="1:18" ht="14.25" thickTop="1" thickBot="1" x14ac:dyDescent="0.25">
      <c r="A8" s="165">
        <v>4</v>
      </c>
      <c r="B8" s="176"/>
      <c r="C8" s="176"/>
      <c r="D8" s="177"/>
      <c r="E8" s="192"/>
      <c r="F8" s="178"/>
      <c r="G8" s="178"/>
      <c r="H8" s="177"/>
      <c r="I8" s="179"/>
      <c r="J8" s="174"/>
      <c r="K8" s="175"/>
      <c r="L8" s="175"/>
      <c r="M8" s="175"/>
      <c r="N8" s="163">
        <f t="shared" si="1"/>
        <v>0</v>
      </c>
      <c r="O8" s="167">
        <f t="shared" si="2"/>
        <v>0</v>
      </c>
      <c r="P8" s="167">
        <f t="shared" si="3"/>
        <v>0</v>
      </c>
      <c r="Q8" s="167">
        <f t="shared" si="4"/>
        <v>0</v>
      </c>
      <c r="R8" s="167">
        <f t="shared" si="5"/>
        <v>1</v>
      </c>
    </row>
    <row r="9" spans="1:18" ht="14.25" thickTop="1" thickBot="1" x14ac:dyDescent="0.25">
      <c r="A9" s="165">
        <v>5</v>
      </c>
      <c r="B9" s="176"/>
      <c r="C9" s="176"/>
      <c r="D9" s="177"/>
      <c r="E9" s="192"/>
      <c r="F9" s="178"/>
      <c r="G9" s="178"/>
      <c r="H9" s="177"/>
      <c r="I9" s="179"/>
      <c r="J9" s="174"/>
      <c r="K9" s="175"/>
      <c r="L9" s="175"/>
      <c r="M9" s="175"/>
      <c r="N9" s="163">
        <f t="shared" si="1"/>
        <v>0</v>
      </c>
      <c r="O9" s="167">
        <f t="shared" si="2"/>
        <v>0</v>
      </c>
      <c r="P9" s="167">
        <f t="shared" si="3"/>
        <v>0</v>
      </c>
      <c r="Q9" s="167">
        <f t="shared" si="4"/>
        <v>0</v>
      </c>
      <c r="R9" s="167">
        <f t="shared" si="5"/>
        <v>1</v>
      </c>
    </row>
    <row r="10" spans="1:18" ht="14.25" thickTop="1" thickBot="1" x14ac:dyDescent="0.25">
      <c r="A10" s="165">
        <v>6</v>
      </c>
      <c r="B10" s="176"/>
      <c r="C10" s="176"/>
      <c r="D10" s="177"/>
      <c r="E10" s="192"/>
      <c r="F10" s="178"/>
      <c r="G10" s="178"/>
      <c r="H10" s="177"/>
      <c r="I10" s="179"/>
      <c r="J10" s="174"/>
      <c r="K10" s="175"/>
      <c r="L10" s="175"/>
      <c r="M10" s="175"/>
      <c r="N10" s="163">
        <f t="shared" si="1"/>
        <v>0</v>
      </c>
      <c r="O10" s="167">
        <f t="shared" si="2"/>
        <v>0</v>
      </c>
      <c r="P10" s="167">
        <f t="shared" si="3"/>
        <v>0</v>
      </c>
      <c r="Q10" s="167">
        <f t="shared" si="4"/>
        <v>0</v>
      </c>
      <c r="R10" s="167">
        <f t="shared" si="5"/>
        <v>1</v>
      </c>
    </row>
    <row r="11" spans="1:18" ht="14.25" thickTop="1" thickBot="1" x14ac:dyDescent="0.25">
      <c r="A11" s="165">
        <v>7</v>
      </c>
      <c r="B11" s="176"/>
      <c r="C11" s="176"/>
      <c r="D11" s="177"/>
      <c r="E11" s="192"/>
      <c r="F11" s="178"/>
      <c r="G11" s="178"/>
      <c r="H11" s="177"/>
      <c r="I11" s="179"/>
      <c r="J11" s="174"/>
      <c r="K11" s="175"/>
      <c r="L11" s="175"/>
      <c r="M11" s="175"/>
      <c r="N11" s="163">
        <f t="shared" si="1"/>
        <v>0</v>
      </c>
      <c r="O11" s="167">
        <f t="shared" si="2"/>
        <v>0</v>
      </c>
      <c r="P11" s="167">
        <f t="shared" si="3"/>
        <v>0</v>
      </c>
      <c r="Q11" s="167">
        <f t="shared" si="4"/>
        <v>0</v>
      </c>
      <c r="R11" s="167">
        <f t="shared" si="5"/>
        <v>1</v>
      </c>
    </row>
    <row r="12" spans="1:18" ht="14.25" thickTop="1" thickBot="1" x14ac:dyDescent="0.25">
      <c r="A12" s="165">
        <v>8</v>
      </c>
      <c r="B12" s="176"/>
      <c r="C12" s="176"/>
      <c r="D12" s="177"/>
      <c r="E12" s="192"/>
      <c r="F12" s="178"/>
      <c r="G12" s="178"/>
      <c r="H12" s="177"/>
      <c r="I12" s="179"/>
      <c r="J12" s="174"/>
      <c r="K12" s="175"/>
      <c r="L12" s="175"/>
      <c r="M12" s="175"/>
      <c r="N12" s="163">
        <f t="shared" si="1"/>
        <v>0</v>
      </c>
      <c r="O12" s="167">
        <f t="shared" si="2"/>
        <v>0</v>
      </c>
      <c r="P12" s="167">
        <f t="shared" si="3"/>
        <v>0</v>
      </c>
      <c r="Q12" s="167">
        <f t="shared" si="4"/>
        <v>0</v>
      </c>
      <c r="R12" s="167">
        <f t="shared" si="5"/>
        <v>1</v>
      </c>
    </row>
    <row r="13" spans="1:18" ht="14.25" thickTop="1" thickBot="1" x14ac:dyDescent="0.25">
      <c r="A13" s="165">
        <v>9</v>
      </c>
      <c r="B13" s="176"/>
      <c r="C13" s="176"/>
      <c r="D13" s="177"/>
      <c r="E13" s="192"/>
      <c r="F13" s="178"/>
      <c r="G13" s="178"/>
      <c r="H13" s="177"/>
      <c r="I13" s="179"/>
      <c r="J13" s="174"/>
      <c r="K13" s="175"/>
      <c r="L13" s="175"/>
      <c r="M13" s="175"/>
      <c r="N13" s="163">
        <f t="shared" si="1"/>
        <v>0</v>
      </c>
      <c r="O13" s="167">
        <f t="shared" si="2"/>
        <v>0</v>
      </c>
      <c r="P13" s="167">
        <f t="shared" si="3"/>
        <v>0</v>
      </c>
      <c r="Q13" s="167">
        <f t="shared" si="4"/>
        <v>0</v>
      </c>
      <c r="R13" s="167">
        <f t="shared" si="5"/>
        <v>1</v>
      </c>
    </row>
    <row r="14" spans="1:18" ht="14.25" thickTop="1" thickBot="1" x14ac:dyDescent="0.25">
      <c r="A14" s="165">
        <v>10</v>
      </c>
      <c r="B14" s="176"/>
      <c r="C14" s="176"/>
      <c r="D14" s="177"/>
      <c r="E14" s="192"/>
      <c r="F14" s="178"/>
      <c r="G14" s="178"/>
      <c r="H14" s="177"/>
      <c r="I14" s="179"/>
      <c r="J14" s="174"/>
      <c r="K14" s="175"/>
      <c r="L14" s="175"/>
      <c r="M14" s="175"/>
      <c r="N14" s="163">
        <f t="shared" si="1"/>
        <v>0</v>
      </c>
      <c r="O14" s="167">
        <f t="shared" si="2"/>
        <v>0</v>
      </c>
      <c r="P14" s="167">
        <f t="shared" si="3"/>
        <v>0</v>
      </c>
      <c r="Q14" s="167">
        <f t="shared" si="4"/>
        <v>0</v>
      </c>
      <c r="R14" s="167">
        <f t="shared" si="5"/>
        <v>1</v>
      </c>
    </row>
    <row r="15" spans="1:18" ht="14.25" thickTop="1" thickBot="1" x14ac:dyDescent="0.25">
      <c r="A15" s="165">
        <v>11</v>
      </c>
      <c r="B15" s="176"/>
      <c r="C15" s="176"/>
      <c r="D15" s="177"/>
      <c r="E15" s="192"/>
      <c r="F15" s="178"/>
      <c r="G15" s="178"/>
      <c r="H15" s="177"/>
      <c r="I15" s="179"/>
      <c r="J15" s="174"/>
      <c r="K15" s="175"/>
      <c r="L15" s="175"/>
      <c r="M15" s="175"/>
      <c r="N15" s="163">
        <f t="shared" si="1"/>
        <v>0</v>
      </c>
      <c r="O15" s="167">
        <f t="shared" si="2"/>
        <v>0</v>
      </c>
      <c r="P15" s="167">
        <f t="shared" si="3"/>
        <v>0</v>
      </c>
      <c r="Q15" s="167">
        <f t="shared" si="4"/>
        <v>0</v>
      </c>
      <c r="R15" s="167">
        <f t="shared" si="5"/>
        <v>1</v>
      </c>
    </row>
    <row r="16" spans="1:18" ht="14.25" thickTop="1" thickBot="1" x14ac:dyDescent="0.25">
      <c r="A16" s="165">
        <v>12</v>
      </c>
      <c r="B16" s="176"/>
      <c r="C16" s="176"/>
      <c r="D16" s="177"/>
      <c r="E16" s="192"/>
      <c r="F16" s="178"/>
      <c r="G16" s="178"/>
      <c r="H16" s="177"/>
      <c r="I16" s="179"/>
      <c r="J16" s="174"/>
      <c r="K16" s="175"/>
      <c r="L16" s="175"/>
      <c r="M16" s="175"/>
      <c r="N16" s="163">
        <f t="shared" si="1"/>
        <v>0</v>
      </c>
      <c r="O16" s="167">
        <f t="shared" si="2"/>
        <v>0</v>
      </c>
      <c r="P16" s="167">
        <f t="shared" si="3"/>
        <v>0</v>
      </c>
      <c r="Q16" s="167">
        <f t="shared" si="4"/>
        <v>0</v>
      </c>
      <c r="R16" s="167">
        <f t="shared" si="5"/>
        <v>1</v>
      </c>
    </row>
    <row r="17" spans="1:18" ht="14.25" thickTop="1" thickBot="1" x14ac:dyDescent="0.25">
      <c r="A17" s="165">
        <v>13</v>
      </c>
      <c r="B17" s="176"/>
      <c r="C17" s="176"/>
      <c r="D17" s="177"/>
      <c r="E17" s="192"/>
      <c r="F17" s="178"/>
      <c r="G17" s="178"/>
      <c r="H17" s="177"/>
      <c r="I17" s="179"/>
      <c r="J17" s="174"/>
      <c r="K17" s="175"/>
      <c r="L17" s="175"/>
      <c r="M17" s="175"/>
      <c r="N17" s="163">
        <f t="shared" si="1"/>
        <v>0</v>
      </c>
      <c r="O17" s="167">
        <f t="shared" si="2"/>
        <v>0</v>
      </c>
      <c r="P17" s="167">
        <f t="shared" si="3"/>
        <v>0</v>
      </c>
      <c r="Q17" s="167">
        <f t="shared" si="4"/>
        <v>0</v>
      </c>
      <c r="R17" s="167">
        <f t="shared" si="5"/>
        <v>1</v>
      </c>
    </row>
    <row r="18" spans="1:18" ht="14.25" thickTop="1" thickBot="1" x14ac:dyDescent="0.25">
      <c r="A18" s="165">
        <v>14</v>
      </c>
      <c r="B18" s="176"/>
      <c r="C18" s="176"/>
      <c r="D18" s="177"/>
      <c r="E18" s="192"/>
      <c r="F18" s="178"/>
      <c r="G18" s="178"/>
      <c r="H18" s="177"/>
      <c r="I18" s="179"/>
      <c r="J18" s="174"/>
      <c r="K18" s="175"/>
      <c r="L18" s="175"/>
      <c r="M18" s="175"/>
      <c r="N18" s="163">
        <f t="shared" si="1"/>
        <v>0</v>
      </c>
      <c r="O18" s="167">
        <f t="shared" si="2"/>
        <v>0</v>
      </c>
      <c r="P18" s="167">
        <f t="shared" si="3"/>
        <v>0</v>
      </c>
      <c r="Q18" s="167">
        <f t="shared" si="4"/>
        <v>0</v>
      </c>
      <c r="R18" s="167">
        <f t="shared" si="5"/>
        <v>1</v>
      </c>
    </row>
    <row r="19" spans="1:18" ht="14.25" thickTop="1" thickBot="1" x14ac:dyDescent="0.25">
      <c r="A19" s="165">
        <v>15</v>
      </c>
      <c r="B19" s="176"/>
      <c r="C19" s="176"/>
      <c r="D19" s="177"/>
      <c r="E19" s="192"/>
      <c r="F19" s="178"/>
      <c r="G19" s="178"/>
      <c r="H19" s="177"/>
      <c r="I19" s="179"/>
      <c r="J19" s="174"/>
      <c r="K19" s="175"/>
      <c r="L19" s="175"/>
      <c r="M19" s="175"/>
      <c r="N19" s="163">
        <f t="shared" si="1"/>
        <v>0</v>
      </c>
      <c r="O19" s="167">
        <f t="shared" si="2"/>
        <v>0</v>
      </c>
      <c r="P19" s="167">
        <f t="shared" si="3"/>
        <v>0</v>
      </c>
      <c r="Q19" s="167">
        <f t="shared" si="4"/>
        <v>0</v>
      </c>
      <c r="R19" s="167">
        <f t="shared" si="5"/>
        <v>1</v>
      </c>
    </row>
    <row r="20" spans="1:18" ht="14.25" thickTop="1" thickBot="1" x14ac:dyDescent="0.25">
      <c r="A20" s="165">
        <v>16</v>
      </c>
      <c r="B20" s="176"/>
      <c r="C20" s="176"/>
      <c r="D20" s="177"/>
      <c r="E20" s="192"/>
      <c r="F20" s="178"/>
      <c r="G20" s="178"/>
      <c r="H20" s="177"/>
      <c r="I20" s="179"/>
      <c r="J20" s="174"/>
      <c r="K20" s="175"/>
      <c r="L20" s="175"/>
      <c r="M20" s="175"/>
      <c r="N20" s="163">
        <f t="shared" si="1"/>
        <v>0</v>
      </c>
      <c r="O20" s="167">
        <f t="shared" si="2"/>
        <v>0</v>
      </c>
      <c r="P20" s="167">
        <f t="shared" si="3"/>
        <v>0</v>
      </c>
      <c r="Q20" s="167">
        <f t="shared" si="4"/>
        <v>0</v>
      </c>
      <c r="R20" s="167">
        <f t="shared" si="5"/>
        <v>1</v>
      </c>
    </row>
    <row r="21" spans="1:18" ht="14.25" thickTop="1" thickBot="1" x14ac:dyDescent="0.25">
      <c r="A21" s="165">
        <v>17</v>
      </c>
      <c r="B21" s="176"/>
      <c r="C21" s="176"/>
      <c r="D21" s="177"/>
      <c r="E21" s="192"/>
      <c r="F21" s="178"/>
      <c r="G21" s="178"/>
      <c r="H21" s="177"/>
      <c r="I21" s="179"/>
      <c r="J21" s="174"/>
      <c r="K21" s="175"/>
      <c r="L21" s="175"/>
      <c r="M21" s="175"/>
      <c r="N21" s="163">
        <f t="shared" si="1"/>
        <v>0</v>
      </c>
      <c r="O21" s="167">
        <f t="shared" si="2"/>
        <v>0</v>
      </c>
      <c r="P21" s="167">
        <f t="shared" si="3"/>
        <v>0</v>
      </c>
      <c r="Q21" s="167">
        <f t="shared" si="4"/>
        <v>0</v>
      </c>
      <c r="R21" s="167">
        <f t="shared" si="5"/>
        <v>1</v>
      </c>
    </row>
    <row r="22" spans="1:18" ht="14.25" thickTop="1" thickBot="1" x14ac:dyDescent="0.25">
      <c r="A22" s="165">
        <v>18</v>
      </c>
      <c r="B22" s="176"/>
      <c r="C22" s="176"/>
      <c r="D22" s="177"/>
      <c r="E22" s="192"/>
      <c r="F22" s="178"/>
      <c r="G22" s="178"/>
      <c r="H22" s="177"/>
      <c r="I22" s="179"/>
      <c r="J22" s="174"/>
      <c r="K22" s="175"/>
      <c r="L22" s="175"/>
      <c r="M22" s="175"/>
      <c r="N22" s="163">
        <f t="shared" si="1"/>
        <v>0</v>
      </c>
      <c r="O22" s="167">
        <f t="shared" si="2"/>
        <v>0</v>
      </c>
      <c r="P22" s="167">
        <f t="shared" si="3"/>
        <v>0</v>
      </c>
      <c r="Q22" s="167">
        <f t="shared" si="4"/>
        <v>0</v>
      </c>
      <c r="R22" s="167">
        <f t="shared" si="5"/>
        <v>1</v>
      </c>
    </row>
    <row r="23" spans="1:18" ht="14.25" thickTop="1" thickBot="1" x14ac:dyDescent="0.25">
      <c r="A23" s="165">
        <v>19</v>
      </c>
      <c r="B23" s="176"/>
      <c r="C23" s="176"/>
      <c r="D23" s="177"/>
      <c r="E23" s="192"/>
      <c r="F23" s="178"/>
      <c r="G23" s="178"/>
      <c r="H23" s="177"/>
      <c r="I23" s="179"/>
      <c r="J23" s="174"/>
      <c r="K23" s="175"/>
      <c r="L23" s="175"/>
      <c r="M23" s="175"/>
      <c r="N23" s="163">
        <f t="shared" si="1"/>
        <v>0</v>
      </c>
      <c r="O23" s="167">
        <f t="shared" si="2"/>
        <v>0</v>
      </c>
      <c r="P23" s="167">
        <f t="shared" si="3"/>
        <v>0</v>
      </c>
      <c r="Q23" s="167">
        <f t="shared" si="4"/>
        <v>0</v>
      </c>
      <c r="R23" s="167">
        <f t="shared" si="5"/>
        <v>1</v>
      </c>
    </row>
    <row r="24" spans="1:18" ht="14.25" thickTop="1" thickBot="1" x14ac:dyDescent="0.25">
      <c r="A24" s="165">
        <v>20</v>
      </c>
      <c r="B24" s="176"/>
      <c r="C24" s="176"/>
      <c r="D24" s="177"/>
      <c r="E24" s="192"/>
      <c r="F24" s="178"/>
      <c r="G24" s="178"/>
      <c r="H24" s="177"/>
      <c r="I24" s="179"/>
      <c r="J24" s="174"/>
      <c r="K24" s="175"/>
      <c r="L24" s="175"/>
      <c r="M24" s="175"/>
      <c r="N24" s="163">
        <f t="shared" si="1"/>
        <v>0</v>
      </c>
      <c r="O24" s="167">
        <f t="shared" si="2"/>
        <v>0</v>
      </c>
      <c r="P24" s="167">
        <f t="shared" si="3"/>
        <v>0</v>
      </c>
      <c r="Q24" s="167">
        <f t="shared" si="4"/>
        <v>0</v>
      </c>
      <c r="R24" s="167">
        <f t="shared" si="5"/>
        <v>1</v>
      </c>
    </row>
    <row r="25" spans="1:18" ht="14.25" thickTop="1" thickBot="1" x14ac:dyDescent="0.25">
      <c r="A25" s="165">
        <v>21</v>
      </c>
      <c r="B25" s="176"/>
      <c r="C25" s="176"/>
      <c r="D25" s="177"/>
      <c r="E25" s="192"/>
      <c r="F25" s="178"/>
      <c r="G25" s="178"/>
      <c r="H25" s="177"/>
      <c r="I25" s="179"/>
      <c r="J25" s="174"/>
      <c r="K25" s="175"/>
      <c r="L25" s="175"/>
      <c r="M25" s="175"/>
      <c r="N25" s="163">
        <f t="shared" si="1"/>
        <v>0</v>
      </c>
      <c r="O25" s="167">
        <f t="shared" si="2"/>
        <v>0</v>
      </c>
      <c r="P25" s="167">
        <f t="shared" si="3"/>
        <v>0</v>
      </c>
      <c r="Q25" s="167">
        <f t="shared" si="4"/>
        <v>0</v>
      </c>
      <c r="R25" s="167">
        <f t="shared" si="5"/>
        <v>1</v>
      </c>
    </row>
    <row r="26" spans="1:18" ht="14.25" thickTop="1" thickBot="1" x14ac:dyDescent="0.25">
      <c r="A26" s="165">
        <v>22</v>
      </c>
      <c r="B26" s="176"/>
      <c r="C26" s="176"/>
      <c r="D26" s="177"/>
      <c r="E26" s="192"/>
      <c r="F26" s="178"/>
      <c r="G26" s="178"/>
      <c r="H26" s="177"/>
      <c r="I26" s="179"/>
      <c r="J26" s="174"/>
      <c r="K26" s="175"/>
      <c r="L26" s="175"/>
      <c r="M26" s="175"/>
      <c r="N26" s="163">
        <f t="shared" si="1"/>
        <v>0</v>
      </c>
      <c r="O26" s="167">
        <f t="shared" si="2"/>
        <v>0</v>
      </c>
      <c r="P26" s="167">
        <f t="shared" si="3"/>
        <v>0</v>
      </c>
      <c r="Q26" s="167">
        <f t="shared" si="4"/>
        <v>0</v>
      </c>
      <c r="R26" s="167">
        <f t="shared" si="5"/>
        <v>1</v>
      </c>
    </row>
    <row r="27" spans="1:18" ht="14.25" thickTop="1" thickBot="1" x14ac:dyDescent="0.25">
      <c r="A27" s="165">
        <v>23</v>
      </c>
      <c r="B27" s="176"/>
      <c r="C27" s="176"/>
      <c r="D27" s="177"/>
      <c r="E27" s="192"/>
      <c r="F27" s="178"/>
      <c r="G27" s="178"/>
      <c r="H27" s="177"/>
      <c r="I27" s="179"/>
      <c r="J27" s="174"/>
      <c r="K27" s="175"/>
      <c r="L27" s="175"/>
      <c r="M27" s="175"/>
      <c r="N27" s="163">
        <f t="shared" si="1"/>
        <v>0</v>
      </c>
      <c r="O27" s="167">
        <f t="shared" si="2"/>
        <v>0</v>
      </c>
      <c r="P27" s="167">
        <f t="shared" si="3"/>
        <v>0</v>
      </c>
      <c r="Q27" s="167">
        <f t="shared" si="4"/>
        <v>0</v>
      </c>
      <c r="R27" s="167">
        <f t="shared" si="5"/>
        <v>1</v>
      </c>
    </row>
    <row r="28" spans="1:18" ht="14.25" thickTop="1" thickBot="1" x14ac:dyDescent="0.25">
      <c r="A28" s="165">
        <v>24</v>
      </c>
      <c r="B28" s="176"/>
      <c r="C28" s="176"/>
      <c r="D28" s="177"/>
      <c r="E28" s="192"/>
      <c r="F28" s="178"/>
      <c r="G28" s="178"/>
      <c r="H28" s="177"/>
      <c r="I28" s="179"/>
      <c r="J28" s="174"/>
      <c r="K28" s="175"/>
      <c r="L28" s="175"/>
      <c r="M28" s="175"/>
      <c r="N28" s="163">
        <f t="shared" si="1"/>
        <v>0</v>
      </c>
      <c r="O28" s="167">
        <f t="shared" si="2"/>
        <v>0</v>
      </c>
      <c r="P28" s="167">
        <f t="shared" si="3"/>
        <v>0</v>
      </c>
      <c r="Q28" s="167">
        <f t="shared" si="4"/>
        <v>0</v>
      </c>
      <c r="R28" s="167">
        <f t="shared" si="5"/>
        <v>1</v>
      </c>
    </row>
    <row r="29" spans="1:18" ht="14.25" thickTop="1" thickBot="1" x14ac:dyDescent="0.25">
      <c r="A29" s="165">
        <v>25</v>
      </c>
      <c r="B29" s="176"/>
      <c r="C29" s="176"/>
      <c r="D29" s="177"/>
      <c r="E29" s="192"/>
      <c r="F29" s="178"/>
      <c r="G29" s="178"/>
      <c r="H29" s="177"/>
      <c r="I29" s="179"/>
      <c r="J29" s="174"/>
      <c r="K29" s="175"/>
      <c r="L29" s="175"/>
      <c r="M29" s="175"/>
      <c r="N29" s="163">
        <f t="shared" si="1"/>
        <v>0</v>
      </c>
      <c r="O29" s="167">
        <f t="shared" si="2"/>
        <v>0</v>
      </c>
      <c r="P29" s="167">
        <f t="shared" si="3"/>
        <v>0</v>
      </c>
      <c r="Q29" s="167">
        <f t="shared" si="4"/>
        <v>0</v>
      </c>
      <c r="R29" s="167">
        <f t="shared" si="5"/>
        <v>1</v>
      </c>
    </row>
    <row r="30" spans="1:18" ht="14.25" thickTop="1" thickBot="1" x14ac:dyDescent="0.25">
      <c r="A30" s="165">
        <v>26</v>
      </c>
      <c r="B30" s="176"/>
      <c r="C30" s="176"/>
      <c r="D30" s="177"/>
      <c r="E30" s="192"/>
      <c r="F30" s="178"/>
      <c r="G30" s="178"/>
      <c r="H30" s="177"/>
      <c r="I30" s="179"/>
      <c r="J30" s="174"/>
      <c r="K30" s="175"/>
      <c r="L30" s="175"/>
      <c r="M30" s="175"/>
      <c r="N30" s="163">
        <f t="shared" si="1"/>
        <v>0</v>
      </c>
      <c r="O30" s="167">
        <f t="shared" si="2"/>
        <v>0</v>
      </c>
      <c r="P30" s="167">
        <f t="shared" si="3"/>
        <v>0</v>
      </c>
      <c r="Q30" s="167">
        <f t="shared" si="4"/>
        <v>0</v>
      </c>
      <c r="R30" s="167">
        <f t="shared" si="5"/>
        <v>1</v>
      </c>
    </row>
    <row r="31" spans="1:18" ht="14.25" thickTop="1" thickBot="1" x14ac:dyDescent="0.25">
      <c r="A31" s="165">
        <v>27</v>
      </c>
      <c r="B31" s="176"/>
      <c r="C31" s="176"/>
      <c r="D31" s="177"/>
      <c r="E31" s="192"/>
      <c r="F31" s="178"/>
      <c r="G31" s="178"/>
      <c r="H31" s="177"/>
      <c r="I31" s="179"/>
      <c r="J31" s="174"/>
      <c r="K31" s="175"/>
      <c r="L31" s="175"/>
      <c r="M31" s="175"/>
      <c r="N31" s="163">
        <f t="shared" si="1"/>
        <v>0</v>
      </c>
      <c r="O31" s="167">
        <f t="shared" si="2"/>
        <v>0</v>
      </c>
      <c r="P31" s="167">
        <f t="shared" si="3"/>
        <v>0</v>
      </c>
      <c r="Q31" s="167">
        <f t="shared" si="4"/>
        <v>0</v>
      </c>
      <c r="R31" s="167">
        <f t="shared" si="5"/>
        <v>1</v>
      </c>
    </row>
    <row r="32" spans="1:18" ht="14.25" thickTop="1" thickBot="1" x14ac:dyDescent="0.25">
      <c r="A32" s="165">
        <v>28</v>
      </c>
      <c r="B32" s="176"/>
      <c r="C32" s="176"/>
      <c r="D32" s="177"/>
      <c r="E32" s="192"/>
      <c r="F32" s="178"/>
      <c r="G32" s="178"/>
      <c r="H32" s="177"/>
      <c r="I32" s="179"/>
      <c r="J32" s="174"/>
      <c r="K32" s="175"/>
      <c r="L32" s="175"/>
      <c r="M32" s="175"/>
      <c r="N32" s="163">
        <f t="shared" si="1"/>
        <v>0</v>
      </c>
      <c r="O32" s="167">
        <f t="shared" si="2"/>
        <v>0</v>
      </c>
      <c r="P32" s="167">
        <f t="shared" si="3"/>
        <v>0</v>
      </c>
      <c r="Q32" s="167">
        <f t="shared" si="4"/>
        <v>0</v>
      </c>
      <c r="R32" s="167">
        <f t="shared" si="5"/>
        <v>1</v>
      </c>
    </row>
    <row r="33" spans="1:18" ht="14.25" thickTop="1" thickBot="1" x14ac:dyDescent="0.25">
      <c r="A33" s="165">
        <v>29</v>
      </c>
      <c r="B33" s="176"/>
      <c r="C33" s="176"/>
      <c r="D33" s="177"/>
      <c r="E33" s="192"/>
      <c r="F33" s="178"/>
      <c r="G33" s="178"/>
      <c r="H33" s="177"/>
      <c r="I33" s="179"/>
      <c r="J33" s="174"/>
      <c r="K33" s="175"/>
      <c r="L33" s="175"/>
      <c r="M33" s="175"/>
      <c r="N33" s="163">
        <f t="shared" si="1"/>
        <v>0</v>
      </c>
      <c r="O33" s="167">
        <f t="shared" si="2"/>
        <v>0</v>
      </c>
      <c r="P33" s="167">
        <f t="shared" si="3"/>
        <v>0</v>
      </c>
      <c r="Q33" s="167">
        <f t="shared" si="4"/>
        <v>0</v>
      </c>
      <c r="R33" s="167">
        <f t="shared" si="5"/>
        <v>1</v>
      </c>
    </row>
    <row r="34" spans="1:18" ht="14.25" thickTop="1" thickBot="1" x14ac:dyDescent="0.25">
      <c r="A34" s="166">
        <v>30</v>
      </c>
      <c r="B34" s="176"/>
      <c r="C34" s="177"/>
      <c r="D34" s="177"/>
      <c r="E34" s="192"/>
      <c r="F34" s="178"/>
      <c r="G34" s="178"/>
      <c r="H34" s="179"/>
      <c r="I34" s="176"/>
      <c r="J34" s="174"/>
      <c r="K34" s="175"/>
      <c r="L34" s="175"/>
      <c r="M34" s="175"/>
      <c r="N34" s="163">
        <f t="shared" si="1"/>
        <v>0</v>
      </c>
      <c r="O34" s="168">
        <f t="shared" si="2"/>
        <v>0</v>
      </c>
      <c r="P34" s="168">
        <f t="shared" si="3"/>
        <v>0</v>
      </c>
      <c r="Q34" s="168">
        <f t="shared" si="4"/>
        <v>0</v>
      </c>
      <c r="R34" s="168">
        <f t="shared" si="5"/>
        <v>1</v>
      </c>
    </row>
    <row r="35" spans="1:18" ht="14.25" thickTop="1" thickBot="1" x14ac:dyDescent="0.25">
      <c r="A35" s="166">
        <v>31</v>
      </c>
      <c r="B35" s="176"/>
      <c r="C35" s="177"/>
      <c r="D35" s="177"/>
      <c r="E35" s="192"/>
      <c r="F35" s="178"/>
      <c r="G35" s="178"/>
      <c r="H35" s="179"/>
      <c r="I35" s="176"/>
      <c r="J35" s="174"/>
      <c r="K35" s="175"/>
      <c r="L35" s="175"/>
      <c r="M35" s="175"/>
      <c r="N35" s="163">
        <f t="shared" ref="N35:N39" si="6">IF(J35=Ja,ROUND(D35*E35*F35*2,2),ROUND(D35*E35*F35,2))</f>
        <v>0</v>
      </c>
      <c r="O35" s="168">
        <f t="shared" ref="O35:O39" si="7">IF(K35="",0,VLOOKUP(K35,MatrixSoSchu,2,FALSE))</f>
        <v>0</v>
      </c>
      <c r="P35" s="168">
        <f t="shared" ref="P35:P39" si="8">IF(L35="",0,VLOOKUP(L35,MatrixSoControl,2,FALSE))</f>
        <v>0</v>
      </c>
      <c r="Q35" s="168">
        <f t="shared" ref="Q35:Q39" si="9">IF(M35="",0,VLOOKUP(M35,MatrixHorizont,2,FALSE))</f>
        <v>0</v>
      </c>
      <c r="R35" s="168">
        <f t="shared" ref="R35:R39" si="10">ROUND(IF(I35&gt;2,2,1/(1-(0.25*I35))),2)</f>
        <v>1</v>
      </c>
    </row>
    <row r="36" spans="1:18" ht="14.25" thickTop="1" thickBot="1" x14ac:dyDescent="0.25">
      <c r="A36" s="166">
        <v>32</v>
      </c>
      <c r="B36" s="176"/>
      <c r="C36" s="177"/>
      <c r="D36" s="177"/>
      <c r="E36" s="192"/>
      <c r="F36" s="178"/>
      <c r="G36" s="178"/>
      <c r="H36" s="179"/>
      <c r="I36" s="176"/>
      <c r="J36" s="174"/>
      <c r="K36" s="175"/>
      <c r="L36" s="175"/>
      <c r="M36" s="175"/>
      <c r="N36" s="163">
        <f t="shared" si="6"/>
        <v>0</v>
      </c>
      <c r="O36" s="168">
        <f t="shared" si="7"/>
        <v>0</v>
      </c>
      <c r="P36" s="168">
        <f t="shared" si="8"/>
        <v>0</v>
      </c>
      <c r="Q36" s="168">
        <f t="shared" si="9"/>
        <v>0</v>
      </c>
      <c r="R36" s="168">
        <f t="shared" si="10"/>
        <v>1</v>
      </c>
    </row>
    <row r="37" spans="1:18" ht="14.25" thickTop="1" thickBot="1" x14ac:dyDescent="0.25">
      <c r="A37" s="166">
        <v>33</v>
      </c>
      <c r="B37" s="176"/>
      <c r="C37" s="177"/>
      <c r="D37" s="177"/>
      <c r="E37" s="192"/>
      <c r="F37" s="178"/>
      <c r="G37" s="178"/>
      <c r="H37" s="179"/>
      <c r="I37" s="176"/>
      <c r="J37" s="174"/>
      <c r="K37" s="175"/>
      <c r="L37" s="175"/>
      <c r="M37" s="175"/>
      <c r="N37" s="163">
        <f t="shared" si="6"/>
        <v>0</v>
      </c>
      <c r="O37" s="168">
        <f t="shared" si="7"/>
        <v>0</v>
      </c>
      <c r="P37" s="168">
        <f t="shared" si="8"/>
        <v>0</v>
      </c>
      <c r="Q37" s="168">
        <f t="shared" si="9"/>
        <v>0</v>
      </c>
      <c r="R37" s="168">
        <f t="shared" si="10"/>
        <v>1</v>
      </c>
    </row>
    <row r="38" spans="1:18" ht="14.25" thickTop="1" thickBot="1" x14ac:dyDescent="0.25">
      <c r="A38" s="166">
        <v>34</v>
      </c>
      <c r="B38" s="176"/>
      <c r="C38" s="177"/>
      <c r="D38" s="177"/>
      <c r="E38" s="192"/>
      <c r="F38" s="178"/>
      <c r="G38" s="178"/>
      <c r="H38" s="179"/>
      <c r="I38" s="176"/>
      <c r="J38" s="174"/>
      <c r="K38" s="175"/>
      <c r="L38" s="175"/>
      <c r="M38" s="175"/>
      <c r="N38" s="163">
        <f t="shared" si="6"/>
        <v>0</v>
      </c>
      <c r="O38" s="168">
        <f t="shared" si="7"/>
        <v>0</v>
      </c>
      <c r="P38" s="168">
        <f t="shared" si="8"/>
        <v>0</v>
      </c>
      <c r="Q38" s="168">
        <f t="shared" si="9"/>
        <v>0</v>
      </c>
      <c r="R38" s="168">
        <f t="shared" si="10"/>
        <v>1</v>
      </c>
    </row>
    <row r="39" spans="1:18" ht="14.25" thickTop="1" thickBot="1" x14ac:dyDescent="0.25">
      <c r="A39" s="166">
        <v>35</v>
      </c>
      <c r="B39" s="176"/>
      <c r="C39" s="177"/>
      <c r="D39" s="177"/>
      <c r="E39" s="192"/>
      <c r="F39" s="178"/>
      <c r="G39" s="178"/>
      <c r="H39" s="179"/>
      <c r="I39" s="176"/>
      <c r="J39" s="174"/>
      <c r="K39" s="175"/>
      <c r="L39" s="175"/>
      <c r="M39" s="175"/>
      <c r="N39" s="163">
        <f t="shared" si="6"/>
        <v>0</v>
      </c>
      <c r="O39" s="168">
        <f t="shared" si="7"/>
        <v>0</v>
      </c>
      <c r="P39" s="168">
        <f t="shared" si="8"/>
        <v>0</v>
      </c>
      <c r="Q39" s="168">
        <f t="shared" si="9"/>
        <v>0</v>
      </c>
      <c r="R39" s="168">
        <f t="shared" si="10"/>
        <v>1</v>
      </c>
    </row>
    <row r="40" spans="1:18" ht="13.5" thickTop="1" x14ac:dyDescent="0.2">
      <c r="A40" s="169"/>
      <c r="B40" s="169"/>
      <c r="C40" s="169"/>
    </row>
    <row r="41" spans="1:18" x14ac:dyDescent="0.2">
      <c r="A41" s="169"/>
      <c r="B41" s="169"/>
      <c r="C41" s="169"/>
    </row>
  </sheetData>
  <sheetProtection algorithmName="SHA-512" hashValue="+vJ5TkM6/y3LMfQrZ9fJsPH4Wx5/2ZpSnR/IUF6PLuzIOcfBBtfJcaH69kxie1Yy9WeEwuD6Aqfl42quGi6hFQ==" saltValue="Dk5Q1cgo/GWg6sr03c22OA==" spinCount="100000" sheet="1" objects="1" scenarios="1" selectLockedCells="1"/>
  <mergeCells count="3">
    <mergeCell ref="B3:J3"/>
    <mergeCell ref="K3:M3"/>
    <mergeCell ref="N3:R3"/>
  </mergeCells>
  <conditionalFormatting sqref="A5:A39">
    <cfRule type="expression" dxfId="11" priority="1">
      <formula>OR(ISBLANK($B5),ISBLANK($C5),$D5=0,$E5=0,$F5=0,$G5=0,ISBLANK($J5),ISBLANK($K5),ISBLANK($L5),ISBLANK($M5))</formula>
    </cfRule>
  </conditionalFormatting>
  <dataValidations count="12">
    <dataValidation type="list" allowBlank="1" showInputMessage="1" showErrorMessage="1" errorTitle="Fehler" error="Sie müssen einen Eintrag aus der Liste wählen." promptTitle="Verschattung" prompt="Wählen Sie die am besten zutreffende Situation der Fassade, in der das Fenster platziert ist." sqref="M37 M38 M5 M6 M7 M8 M9 M10 M11 M12 M13 M14 M15 M16 M17 M18 M19 M20 M21 M22 M23 M24 M25 M26 M27 M28 M29 M30 M31 M32 M33 M34 M35 M36 M39" xr:uid="{00000000-0002-0000-0100-000000000000}">
      <formula1>ListHorizont</formula1>
    </dataValidation>
    <dataValidation type="list" allowBlank="1" showInputMessage="1" showErrorMessage="1" errorTitle="Fehler" error="Sie müssen einen Eintrag aus der Liste wählen." promptTitle="Sonnenschutz-Typ" prompt="Wählen Sie den am besten zutreffenden Sonnenschutz-Typ aus der Liste." sqref="K37 K38 K5 K6 K7 K8 K9 K10 K11 K12 K13 K14 K15 K16 K17 K18 K19 K20 K21 K22 K23 K24 K25 K26 K27 K28 K29 K30 K31 K32 K33 K34 K35 K36 K39" xr:uid="{00000000-0002-0000-0100-000001000000}">
      <formula1>ListSoSchu</formula1>
    </dataValidation>
    <dataValidation type="list" allowBlank="1" showInputMessage="1" showErrorMessage="1" errorTitle="Fehler" error="Sie müssen einen Eintrag aus der Liste wählen." promptTitle="Steuerung" prompt="Wählen Sie den am besten zutreffenden Steuerungs-Typ aus der Liste." sqref="L37 L38 L5 L6 L7 L8 L9 L10 L11 L12 L13 L14 L15 L16 L17 L18 L19 L20 L21 L22 L23 L24 L25 L26 L27 L28 L29 L30 L31 L32 L33 L34 L35 L36 L39" xr:uid="{00000000-0002-0000-0100-000002000000}">
      <formula1>ListSoControl</formula1>
    </dataValidation>
    <dataValidation type="list" allowBlank="1" showInputMessage="1" showErrorMessage="1" errorTitle="Fehler" error="Sie müssen einen Eintrag aus der Liste wählen." promptTitle="Oberlicht" prompt="Wählen Sie Ja, wenn das Fenster im Dach angeordnet ist (Neigung 0° bis 45° aus der Horizontalen)" sqref="J37 J38 J5 J6 J7 J8 J9 J10 J11 J12 J13 J14 J15 J16 J17 J18 J19 J20 J21 J22 J23 J24 J25 J26 J27 J28 J29 J30 J31 J32 J33 J34 J35 J36 J39" xr:uid="{00000000-0002-0000-0100-000003000000}">
      <formula1>JaNein</formula1>
    </dataValidation>
    <dataValidation type="textLength" allowBlank="1" showInputMessage="1" showErrorMessage="1" errorTitle="Fehler" error="Sie dürfen nur maximal 4 Zeichen eingeben." promptTitle="Kürzel" prompt="Bitte geben Sie eine Kurzbezeichnung ein (max. 4 Zeichen)" sqref="B37 B38 B5 B6 B7 B8 B9 B10 B11 B12 B13 B14 B15 B16 B17 B18 B19 B20 B21 B22 B23 B24 B25 B26 B27 B28 B29 B30 B31 B32 B33 B34 B35 B36 B39" xr:uid="{00000000-0002-0000-0100-000004000000}">
      <formula1>1</formula1>
      <formula2>4</formula2>
    </dataValidation>
    <dataValidation type="textLength" allowBlank="1" showInputMessage="1" showErrorMessage="1" errorTitle="Fehler" error="Sie dürfen nur maximal 25 Zeichen eingeben." promptTitle="Bezeichnung" prompt="Bitte geben Sie eine Bezeichnung für das Fenster ein" sqref="C37 C38 C5 C6 C7 C8 C9 C10 C11 C12 C13 C14 C15 C16 C17 C18 C19 C20 C21 C22 C23 C24 C25 C26 C27 C28 C29 C30 C31 C32 C33 C34 C35 C36 C39" xr:uid="{00000000-0002-0000-0100-000005000000}">
      <formula1>1</formula1>
      <formula2>25</formula2>
    </dataValidation>
    <dataValidation type="decimal" allowBlank="1" showInputMessage="1" showErrorMessage="1" errorTitle="Fehler" error="Sie müssen Werte zwischen 0 und 999 eingeben." promptTitle="Höhe" prompt="Geben Sie die Höhe des Fensters (Öffnungslichtmass) ein." sqref="E37 E38 E5 E6 E7 E8 E9 E10 E11 E12 E13 E14 E15 E16 E17 E18 E19 E20 E21 E22 E23 E24 E25 E26 E27 E28 E29 E30 E31 E32 E33 E34 E35 E36 E39" xr:uid="{00000000-0002-0000-0100-000006000000}">
      <formula1>0</formula1>
      <formula2>999</formula2>
    </dataValidation>
    <dataValidation type="decimal" allowBlank="1" showInputMessage="1" showErrorMessage="1" errorTitle="Fehler" error="Sie müssen Werte zwischen 0% und 100% eingeben." promptTitle="Tau" prompt="Geben Sie den Wert für die Tageslicht-Transmission des Glases ein. _x000a_Achtung: bei vor dem Fenster angeordneten Gläsern (Kastenfenster, Doppelfassaden etc.) ist der Tau-Wert der Verglasungen zu multiplizieren." sqref="G37 G38 G5 G6 G7 G8 G9 G10 G11 G12 G13 G14 G15 G16 G17 G18 G19 G20 G21 G22 G23 G24 G25 G26 G27 G28 G29 G30 G31 G32 G33 G34 G35 G36 G39" xr:uid="{00000000-0002-0000-0100-000007000000}">
      <formula1>0</formula1>
      <formula2>1</formula2>
    </dataValidation>
    <dataValidation type="decimal" allowBlank="1" showInputMessage="1" showErrorMessage="1" errorTitle="Fehler" error="Sie müssen Werte zwischen 0 und 99 eingeben." promptTitle="Auskragung" prompt="Geben Sie den horizontalen Abstand zwischen Fenster und Vorderkante der Auskragung ein." sqref="I37 I38 I5 I6 I7 I8 I9 I10 I11 I12 I13 I14 I15 I16 I17 I18 I19 I20 I21 I22 I23 I24 I25 I26 I27 I28 I29 I30 I31 I32 I33 I34 I35 I36 I39" xr:uid="{00000000-0002-0000-0100-000008000000}">
      <formula1>0</formula1>
      <formula2>99</formula2>
    </dataValidation>
    <dataValidation type="decimal" allowBlank="1" showInputMessage="1" showErrorMessage="1" errorTitle="Fehler" error="Sie müssen Werte zwischen 0 und 999 eingeben." promptTitle="Breite" prompt="Geben Sie die Breite des Fensters (Öffnungslichtmass) ein." sqref="D37 D38 D5 D6 D7 D8 D9 D10 D11 D12 D13 D14 D15 D16 D17 D18 D19 D20 D21 D22 D23 D24 D25 D26 D27 D28 D29 D30 D31 D32 D33 D34 D35 D36 D39" xr:uid="{00000000-0002-0000-0100-00004D000000}">
      <formula1>0</formula1>
      <formula2>999</formula2>
    </dataValidation>
    <dataValidation type="decimal" allowBlank="1" showInputMessage="1" showErrorMessage="1" errorTitle="Fehler" error="Sie müssen Werte zwischen 0% und 100% eingeben." promptTitle="Glasanteil" prompt="Geben Sie den Flächenanteil des Glases am Öffnungslichtmass ein." sqref="F37 F38 F5 F6 F7 F8 F9 F10 F11 F12 F13 F14 F15 F16 F17 F18 F19 F20 F21 F22 F23 F24 F25 F26 F27 F28 F29 F30 F31 F32 F33 F34 F35 F36 F39" xr:uid="{00000000-0002-0000-0100-000092000000}">
      <formula1>0</formula1>
      <formula2>1</formula2>
    </dataValidation>
    <dataValidation type="decimal" allowBlank="1" showInputMessage="1" showErrorMessage="1" errorTitle="Fehler" error="Sie müssen Werte zwischen 0 und 99 eingeben." promptTitle="Sturzhöhe" prompt="Geben Sie den Abstand zwischen Decke und Verglasung ein." sqref="H37 H38 H5 H6 H7 H8 H9 H10 H11 H12 H13 H14 H15 H16 H17 H18 H19 H20 H21 H22 H23 H24 H25 H26 H27 H28 H29 H30 H31 H32 H33 H34 H35 H36 H39" xr:uid="{00000000-0002-0000-0100-0000D7000000}">
      <formula1>0</formula1>
      <formula2>99</formula2>
    </dataValidation>
  </dataValidations>
  <printOptions horizontalCentered="1"/>
  <pageMargins left="0.59055118110236227" right="0.59055118110236227" top="0.43307086614173229" bottom="0" header="0.51181102362204722" footer="0.27559055118110237"/>
  <pageSetup paperSize="9" scale="63" orientation="landscape" r:id="rId1"/>
  <headerFooter alignWithMargins="0">
    <oddHeader>&amp;R&amp;G</oddHeader>
    <oddFooter>&amp;L&amp;10&amp;F&amp;R&amp;10&amp;P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FFFF99"/>
    <pageSetUpPr fitToPage="1"/>
  </sheetPr>
  <dimension ref="A1:AK42"/>
  <sheetViews>
    <sheetView showGridLines="0" zoomScale="90" zoomScaleNormal="90" workbookViewId="0">
      <selection activeCell="S1" sqref="S1:AJ1048576"/>
    </sheetView>
  </sheetViews>
  <sheetFormatPr baseColWidth="10" defaultColWidth="8.88671875" defaultRowHeight="12.75" x14ac:dyDescent="0.2"/>
  <cols>
    <col min="1" max="1" width="2.77734375" style="29" bestFit="1" customWidth="1"/>
    <col min="2" max="3" width="25.5546875" style="29" customWidth="1"/>
    <col min="4" max="7" width="5.77734375" style="29" customWidth="1"/>
    <col min="8" max="8" width="6" style="29" customWidth="1"/>
    <col min="9" max="9" width="7.21875" style="29" customWidth="1"/>
    <col min="10" max="12" width="5.77734375" style="29" customWidth="1"/>
    <col min="13" max="17" width="6.77734375" style="29" customWidth="1"/>
    <col min="18" max="18" width="5.33203125" style="29" customWidth="1"/>
    <col min="19" max="19" width="6.77734375" style="29" hidden="1" customWidth="1"/>
    <col min="20" max="20" width="7.44140625" style="29" hidden="1" customWidth="1"/>
    <col min="21" max="21" width="6.77734375" style="29" hidden="1" customWidth="1"/>
    <col min="22" max="23" width="7.77734375" style="29" hidden="1" customWidth="1"/>
    <col min="24" max="32" width="6.77734375" style="29" hidden="1" customWidth="1"/>
    <col min="33" max="33" width="8.77734375" style="29" hidden="1" customWidth="1"/>
    <col min="34" max="34" width="10.109375" style="29" hidden="1" customWidth="1"/>
    <col min="35" max="35" width="10.33203125" style="29" hidden="1" customWidth="1"/>
    <col min="36" max="36" width="8.88671875" style="29" hidden="1" customWidth="1"/>
    <col min="37" max="16384" width="8.88671875" style="29"/>
  </cols>
  <sheetData>
    <row r="1" spans="1:37" ht="28.5" customHeight="1" x14ac:dyDescent="0.2">
      <c r="A1" s="120" t="str">
        <f>IF(Projektbez="","",Projektbez&amp;" - ")&amp;Texte!$B$57</f>
        <v>Typische Räume und Tageslicht</v>
      </c>
      <c r="B1" s="121"/>
      <c r="C1" s="117"/>
      <c r="D1" s="117"/>
      <c r="E1" s="117"/>
      <c r="F1" s="117"/>
      <c r="G1" s="117"/>
      <c r="H1" s="117"/>
      <c r="I1" s="117"/>
      <c r="J1" s="117"/>
      <c r="K1" s="117"/>
      <c r="L1" s="117"/>
      <c r="M1" s="118"/>
      <c r="N1" s="118"/>
      <c r="O1" s="118"/>
      <c r="P1" s="118"/>
      <c r="Q1" s="119"/>
      <c r="R1" s="119"/>
      <c r="S1" s="119"/>
      <c r="T1" s="119"/>
      <c r="U1" s="119"/>
      <c r="V1" s="119"/>
      <c r="W1" s="119"/>
      <c r="X1" s="117"/>
      <c r="Y1" s="117"/>
      <c r="Z1" s="117"/>
      <c r="AA1" s="117"/>
      <c r="AB1" s="117"/>
      <c r="AC1" s="117"/>
      <c r="AD1" s="117"/>
      <c r="AE1" s="117"/>
      <c r="AF1" s="117"/>
      <c r="AG1" s="117"/>
      <c r="AH1" s="117"/>
      <c r="AI1" s="117"/>
      <c r="AJ1" s="117"/>
    </row>
    <row r="2" spans="1:37" ht="9" customHeight="1" x14ac:dyDescent="0.2">
      <c r="D2" s="122"/>
      <c r="E2" s="122"/>
      <c r="F2" s="122"/>
      <c r="G2" s="122"/>
      <c r="H2" s="122"/>
      <c r="J2" s="122"/>
      <c r="K2" s="122"/>
    </row>
    <row r="3" spans="1:37" ht="18.75" customHeight="1" x14ac:dyDescent="0.2">
      <c r="A3" s="40"/>
      <c r="B3" s="203" t="str">
        <f>VLOOKUP(ADDRESS(ROW(),COLUMN(),4),MatrixTexteT3,2,FALSE)</f>
        <v>Typische Räume</v>
      </c>
      <c r="C3" s="204"/>
      <c r="D3" s="247" t="str">
        <f>VLOOKUP(ADDRESS(ROW(),COLUMN(),4),MatrixTexteT3,2,FALSE)</f>
        <v>Raumdaten</v>
      </c>
      <c r="E3" s="248"/>
      <c r="F3" s="248"/>
      <c r="G3" s="248"/>
      <c r="H3" s="248"/>
      <c r="I3" s="249"/>
      <c r="J3" s="247" t="str">
        <f>VLOOKUP(ADDRESS(ROW(),COLUMN(),4),MatrixTexteT3,2,FALSE)</f>
        <v>Fenster</v>
      </c>
      <c r="K3" s="248"/>
      <c r="L3" s="248"/>
      <c r="M3" s="248"/>
      <c r="N3" s="248"/>
      <c r="O3" s="248"/>
      <c r="P3" s="248"/>
      <c r="Q3" s="249"/>
      <c r="R3" s="190" t="str">
        <f>VLOOKUP(ADDRESS(ROW(),COLUMN(),4),MatrixTexteT3,2,FALSE)</f>
        <v>Res.</v>
      </c>
      <c r="S3" s="247" t="s">
        <v>125</v>
      </c>
      <c r="T3" s="248"/>
      <c r="U3" s="248"/>
      <c r="V3" s="248"/>
      <c r="W3" s="249"/>
      <c r="X3" s="247" t="s">
        <v>36</v>
      </c>
      <c r="Y3" s="248"/>
      <c r="Z3" s="248"/>
      <c r="AA3" s="248"/>
      <c r="AB3" s="248"/>
      <c r="AC3" s="248"/>
      <c r="AD3" s="248"/>
      <c r="AE3" s="248"/>
      <c r="AF3" s="248"/>
      <c r="AG3" s="249"/>
      <c r="AH3" s="247" t="s">
        <v>124</v>
      </c>
      <c r="AI3" s="248"/>
      <c r="AJ3" s="249"/>
      <c r="AK3" s="111"/>
    </row>
    <row r="4" spans="1:37" s="30" customFormat="1" ht="46.5" customHeight="1" thickBot="1" x14ac:dyDescent="0.35">
      <c r="A4" s="96" t="s">
        <v>742</v>
      </c>
      <c r="B4" s="95" t="str">
        <f>VLOOKUP(ADDRESS(ROW(),COLUMN(),4),MatrixTexteT3,2,FALSE)</f>
        <v>Raumbezeichnung
-</v>
      </c>
      <c r="C4" s="95" t="str">
        <f>VLOOKUP(ADDRESS(ROW(),COLUMN(),4),MatrixTexteT3,2,FALSE)</f>
        <v>Auswahl Hauptnutzung
-</v>
      </c>
      <c r="D4" s="41" t="str">
        <f>VLOOKUP(ADDRESS(ROW(),COLUMN(),4),MatrixTexteT3,2,FALSE)</f>
        <v>Länge
m</v>
      </c>
      <c r="E4" s="41" t="str">
        <f>VLOOKUP(ADDRESS(ROW(),COLUMN(),4),MatrixTexteT3,2,FALSE)</f>
        <v>Tiefe
m</v>
      </c>
      <c r="F4" s="41" t="str">
        <f>VLOOKUP(ADDRESS(ROW(),COLUMN(),4),MatrixTexteT3,2,FALSE)</f>
        <v>Höhe
m</v>
      </c>
      <c r="G4" s="41" t="str">
        <f>VLOOKUP(ADDRESS(ROW(),COLUMN(),4),MatrixTexteT3,2,FALSE)</f>
        <v>Fläche
m2</v>
      </c>
      <c r="H4" s="41" t="str">
        <f>VLOOKUP(ADDRESS(ROW(),COLUMN(),4),MatrixTexteT3,2,FALSE)</f>
        <v>Anzahl
Stk</v>
      </c>
      <c r="I4" s="41" t="str">
        <f>VLOOKUP(ADDRESS(ROW(),COLUMN(),4),MatrixTexteT3,2,FALSE)</f>
        <v>Raum-Reflexion
-</v>
      </c>
      <c r="J4" s="41" t="str">
        <f>VLOOKUP(ADDRESS(ROW(),COLUMN(),4),MatrixTexteT3,2,FALSE)</f>
        <v>Typ 1
-</v>
      </c>
      <c r="K4" s="41" t="str">
        <f t="shared" ref="K4:Q4" si="0">VLOOKUP(ADDRESS(ROW(),COLUMN(),4),MatrixTexteT3,2,FALSE)</f>
        <v>Anzahl
Stk</v>
      </c>
      <c r="L4" s="41" t="str">
        <f t="shared" si="0"/>
        <v>Typ 2
-</v>
      </c>
      <c r="M4" s="41" t="str">
        <f t="shared" si="0"/>
        <v>Anzahl
Stk</v>
      </c>
      <c r="N4" s="41" t="str">
        <f t="shared" si="0"/>
        <v>Typ 3
-</v>
      </c>
      <c r="O4" s="41" t="str">
        <f t="shared" si="0"/>
        <v>Anzahl
Stk</v>
      </c>
      <c r="P4" s="41" t="str">
        <f t="shared" si="0"/>
        <v>Typ 4
-</v>
      </c>
      <c r="Q4" s="41" t="str">
        <f t="shared" si="0"/>
        <v>Anzahl
Stk</v>
      </c>
      <c r="R4" s="41" t="str">
        <f>VLOOKUP(ADDRESS(ROW(),COLUMN(),4),MatrixTexteT3,2,FALSE)</f>
        <v>Erf. Grad
%</v>
      </c>
      <c r="S4" s="41" t="s">
        <v>152</v>
      </c>
      <c r="T4" s="41" t="s">
        <v>146</v>
      </c>
      <c r="U4" s="41" t="s">
        <v>127</v>
      </c>
      <c r="V4" s="41" t="s">
        <v>126</v>
      </c>
      <c r="W4" s="41" t="s">
        <v>891</v>
      </c>
      <c r="X4" s="41" t="s">
        <v>153</v>
      </c>
      <c r="Y4" s="41" t="s">
        <v>154</v>
      </c>
      <c r="Z4" s="41" t="s">
        <v>155</v>
      </c>
      <c r="AA4" s="41" t="s">
        <v>156</v>
      </c>
      <c r="AB4" s="41" t="s">
        <v>157</v>
      </c>
      <c r="AC4" s="41" t="s">
        <v>158</v>
      </c>
      <c r="AD4" s="41" t="s">
        <v>159</v>
      </c>
      <c r="AE4" s="41" t="s">
        <v>160</v>
      </c>
      <c r="AF4" s="41" t="s">
        <v>161</v>
      </c>
      <c r="AG4" s="41" t="s">
        <v>781</v>
      </c>
      <c r="AH4" s="41" t="s">
        <v>34</v>
      </c>
      <c r="AI4" s="41" t="s">
        <v>33</v>
      </c>
      <c r="AJ4" s="41" t="s">
        <v>35</v>
      </c>
      <c r="AK4" s="116"/>
    </row>
    <row r="5" spans="1:37" ht="14.25" thickTop="1" thickBot="1" x14ac:dyDescent="0.25">
      <c r="A5" s="42">
        <v>1</v>
      </c>
      <c r="B5" s="58"/>
      <c r="C5" s="52"/>
      <c r="D5" s="60"/>
      <c r="E5" s="60"/>
      <c r="F5" s="60"/>
      <c r="G5" s="60"/>
      <c r="H5" s="60"/>
      <c r="I5" s="54"/>
      <c r="J5" s="55"/>
      <c r="K5" s="62"/>
      <c r="L5" s="54"/>
      <c r="M5" s="62"/>
      <c r="N5" s="54"/>
      <c r="O5" s="62"/>
      <c r="P5" s="54"/>
      <c r="Q5" s="64"/>
      <c r="R5" s="193" t="str">
        <f>IF(AJ5&lt;&gt;0,AJ5,"")</f>
        <v/>
      </c>
      <c r="S5" s="49">
        <f>IF(OR(G5=0,G5=""),(D5*E5),G5)</f>
        <v>0</v>
      </c>
      <c r="T5" s="43">
        <f>IF(J5="",0,VLOOKUP(J5,MatrixWindow,13,FALSE)*K5)+IF(L5="",0,VLOOKUP(L5,MatrixWindow,13,FALSE)*M5)+IF(N5="",0,VLOOKUP(N5,MatrixWindow,13,FALSE)*O5)+IF(P5="",0,VLOOKUP(P5,MatrixWindow,13,FALSE)*Q5)</f>
        <v>0</v>
      </c>
      <c r="U5" s="43">
        <f>IF(T5=0,0,(IF(J5="",0,VLOOKUP(J5,MatrixWindow,6,FALSE)*VLOOKUP(J5,MatrixWindow,13,FALSE)*K5)+IF(L5="",0,VLOOKUP(L5,MatrixWindow,6,FALSE)*VLOOKUP(L5,MatrixWindow,13,FALSE)*M5)+IF(N5="",0,VLOOKUP(N5,MatrixWindow,6,FALSE)*VLOOKUP(N5,MatrixWindow,13,FALSE)*O5)+IF(P5="",0,VLOOKUP(P5,MatrixWindow,6,FALSE)*VLOOKUP(P5,MatrixWindow,13,FALSE)*Q5))/T5)</f>
        <v>0</v>
      </c>
      <c r="V5" s="43">
        <f>IF(T5=0,0,(IF(J5="",0,VLOOKUP(J5,MatrixWindow,7,FALSE)*VLOOKUP(J5,MatrixWindow,13,FALSE)*K5)+IF(L5="",0,VLOOKUP(L5,MatrixWindow,7,FALSE)*VLOOKUP(L5,MatrixWindow,13,FALSE)*M5)+IF(N5="",0,VLOOKUP(N5,MatrixWindow,7,FALSE)*VLOOKUP(N5,MatrixWindow,13,FALSE)*O5)+IF(P5="",0,VLOOKUP(P5,MatrixWindow,7,FALSE)*VLOOKUP(P5,MatrixWindow,13,FALSE)*Q5))/T5)</f>
        <v>0</v>
      </c>
      <c r="W5" s="43">
        <f>IF(J5="",0,VLOOKUP(J5,MatrixWindow,3,FALSE)*IF(VLOOKUP(J5,MatrixWindow,9,FALSE)=Ja,0,1)*K5)+IF(L5="",0,VLOOKUP(L5,MatrixWindow,3,FALSE)*IF(VLOOKUP(L5,MatrixWindow,9,FALSE)=Ja,0,1)*M5)+IF(N5="",0,VLOOKUP(N5,MatrixWindow,3,FALSE)*IF(VLOOKUP(N5,MatrixWindow,9,FALSE)=Ja,0,1)*O5)+IF(P5="",0,VLOOKUP(P5,MatrixWindow,3,FALSE)*IF(VLOOKUP(P5,MatrixWindow,9,FALSE)=Ja,0,1)*Q5)</f>
        <v>0</v>
      </c>
      <c r="X5" s="44">
        <f>IF(S5=0,0,T5/S5)</f>
        <v>0</v>
      </c>
      <c r="Y5" s="44">
        <f>IF(C5="",0,MAX(0.175,0.35*(0.375+(VLOOKUP(C5,MatrixBeleuchtung,4,FALSE)/800))))</f>
        <v>0</v>
      </c>
      <c r="Z5" s="45">
        <f>IF(I5="",0,VLOOKUP(I5,MatrixRaumReflex,2,FALSE))</f>
        <v>0</v>
      </c>
      <c r="AA5" s="46">
        <f>IF(T5=0,1,0.7/U5)</f>
        <v>1</v>
      </c>
      <c r="AB5" s="47">
        <f>IF(T5=0,0,(IF(J5="",0,VLOOKUP(J5,MatrixWindow,14,FALSE)*VLOOKUP(J5,MatrixWindow,15,FALSE)*VLOOKUP(J5,MatrixWindow,13,FALSE)*K5)+IF(L5="",0,VLOOKUP(L5,MatrixWindow,14,FALSE)*VLOOKUP(L5,MatrixWindow,15,FALSE)*VLOOKUP(L5,MatrixWindow,13,FALSE)*M5)+IF(N5="",0,VLOOKUP(N5,MatrixWindow,14,FALSE)*VLOOKUP(N5,MatrixWindow,15,FALSE)*VLOOKUP(N5,MatrixWindow,13,FALSE)*O5)+IF(P5="",0,VLOOKUP(P5,MatrixWindow,14,FALSE)*VLOOKUP(P5,MatrixWindow,15,FALSE)*VLOOKUP(P5,MatrixWindow,13,FALSE)*Q5))/T5)</f>
        <v>0</v>
      </c>
      <c r="AC5" s="45">
        <f>IF(T5=0,0,(IF(J5="",0,VLOOKUP(J5,MatrixWindow,16,FALSE)*VLOOKUP(J5,MatrixWindow,13,FALSE)*K5)+IF(L5="",0,VLOOKUP(L5,MatrixWindow,16,FALSE)*VLOOKUP(L5,MatrixWindow,13,FALSE)*M5)+IF(N5="",0,VLOOKUP(N5,MatrixWindow,16,FALSE)*VLOOKUP(N5,MatrixWindow,13,FALSE)*O5)+IF(P5="",0,VLOOKUP(P5,MatrixWindow,16,FALSE)*VLOOKUP(P5,MatrixWindow,13,FALSE)*Q5))/T5)</f>
        <v>0</v>
      </c>
      <c r="AD5" s="45">
        <f>ROUND(IF((F5-V5)&lt;2,1.8,0.8+(0.2/(F5-V5-1.8))),2)</f>
        <v>1.8</v>
      </c>
      <c r="AE5" s="45">
        <f>IF(T5=0,0,(IF(J5="",0,VLOOKUP(J5,MatrixWindow,17,FALSE)*VLOOKUP(J5,MatrixWindow,13,FALSE)*K5)+IF(L5="",0,VLOOKUP(L5,MatrixWindow,17,FALSE)*VLOOKUP(L5,MatrixWindow,13,FALSE)*M5)+IF(N5="",0,VLOOKUP(N5,MatrixWindow,17,FALSE)*VLOOKUP(N5,MatrixWindow,13,FALSE)*O5)+IF(P5="",0,VLOOKUP(P5,MatrixWindow,17,FALSE)*VLOOKUP(P5,MatrixWindow,13,FALSE)*Q5))/T5)</f>
        <v>0</v>
      </c>
      <c r="AF5" s="48">
        <f>MIN(11,2*Z5*AA5*AB5*AC5*MAX(AD5,AE5))</f>
        <v>0</v>
      </c>
      <c r="AG5" s="48">
        <f>IF(Y5=0,0,IF(X5&gt;Y5,AF5,0.5*(11-AF5)*COS(PI()*X5/Y5)+0.5*(11+AF5)))</f>
        <v>0</v>
      </c>
      <c r="AH5" s="49">
        <f>IF(C5="",0,IF(C5=Constants!$B$88,8.2,9))</f>
        <v>0</v>
      </c>
      <c r="AI5" s="50">
        <f>MIN(11-AG5,AH5)</f>
        <v>0</v>
      </c>
      <c r="AJ5" s="51">
        <f>IF(OR(AND(AH5=0,AI5=0),AH5=0),0,IF(Typ=NewConstruction,AI5/AH5,IF((AI5/AH5)&gt;=FactorRenovation,((0.5*((AI5/AH5)-FactorRenovation))/(1-FactorRenovation)+0.5),(0.5*(AI5/AH5)/FactorRenovation))))</f>
        <v>0</v>
      </c>
      <c r="AK5" s="111"/>
    </row>
    <row r="6" spans="1:37" ht="14.25" thickTop="1" thickBot="1" x14ac:dyDescent="0.25">
      <c r="A6" s="42">
        <v>2</v>
      </c>
      <c r="B6" s="58"/>
      <c r="C6" s="52"/>
      <c r="D6" s="60"/>
      <c r="E6" s="60"/>
      <c r="F6" s="60"/>
      <c r="G6" s="60"/>
      <c r="H6" s="61"/>
      <c r="I6" s="54"/>
      <c r="J6" s="55"/>
      <c r="K6" s="62"/>
      <c r="L6" s="54"/>
      <c r="M6" s="62"/>
      <c r="N6" s="54"/>
      <c r="O6" s="62"/>
      <c r="P6" s="54"/>
      <c r="Q6" s="64"/>
      <c r="R6" s="193" t="str">
        <f t="shared" ref="R6:R34" si="1">IF(AJ6&lt;&gt;0,AJ6,"")</f>
        <v/>
      </c>
      <c r="S6" s="49">
        <f t="shared" ref="S6:S23" si="2">IF(OR(G6=0,G6=""),(D6*E6),G6)</f>
        <v>0</v>
      </c>
      <c r="T6" s="43">
        <f t="shared" ref="T5:T34" si="3">IF(J6="",0,VLOOKUP(J6,MatrixWindow,13,FALSE)*K6)+IF(L6="",0,VLOOKUP(L6,MatrixWindow,13,FALSE)*M6)+IF(N6="",0,VLOOKUP(N6,MatrixWindow,13,FALSE)*O6)+IF(P6="",0,VLOOKUP(P6,MatrixWindow,13,FALSE)*Q6)</f>
        <v>0</v>
      </c>
      <c r="U6" s="43">
        <f t="shared" ref="U5:U34" si="4">IF(T6=0,0,(IF(J6="",0,VLOOKUP(J6,MatrixWindow,6,FALSE)*VLOOKUP(J6,MatrixWindow,13,FALSE)*K6)+IF(L6="",0,VLOOKUP(L6,MatrixWindow,6,FALSE)*VLOOKUP(L6,MatrixWindow,13,FALSE)*M6)+IF(N6="",0,VLOOKUP(N6,MatrixWindow,6,FALSE)*VLOOKUP(N6,MatrixWindow,13,FALSE)*O6)+IF(P6="",0,VLOOKUP(P6,MatrixWindow,6,FALSE)*VLOOKUP(P6,MatrixWindow,13,FALSE)*Q6))/T6)</f>
        <v>0</v>
      </c>
      <c r="V6" s="43">
        <f t="shared" ref="V5:V34" si="5">IF(T6=0,0,(IF(J6="",0,VLOOKUP(J6,MatrixWindow,7,FALSE)*VLOOKUP(J6,MatrixWindow,13,FALSE)*K6)+IF(L6="",0,VLOOKUP(L6,MatrixWindow,7,FALSE)*VLOOKUP(L6,MatrixWindow,13,FALSE)*M6)+IF(N6="",0,VLOOKUP(N6,MatrixWindow,7,FALSE)*VLOOKUP(N6,MatrixWindow,13,FALSE)*O6)+IF(P6="",0,VLOOKUP(P6,MatrixWindow,7,FALSE)*VLOOKUP(P6,MatrixWindow,13,FALSE)*Q6))/T6)</f>
        <v>0</v>
      </c>
      <c r="W6" s="43">
        <f t="shared" ref="W5:W34" si="6">IF(J6="",0,VLOOKUP(J6,MatrixWindow,3,FALSE)*IF(VLOOKUP(J6,MatrixWindow,9,FALSE)=Ja,0,1)*K6)+IF(L6="",0,VLOOKUP(L6,MatrixWindow,3,FALSE)*IF(VLOOKUP(L6,MatrixWindow,9,FALSE)=Ja,0,1)*M6)+IF(N6="",0,VLOOKUP(N6,MatrixWindow,3,FALSE)*IF(VLOOKUP(N6,MatrixWindow,9,FALSE)=Ja,0,1)*O6)+IF(P6="",0,VLOOKUP(P6,MatrixWindow,3,FALSE)*IF(VLOOKUP(P6,MatrixWindow,9,FALSE)=Ja,0,1)*Q6)</f>
        <v>0</v>
      </c>
      <c r="X6" s="44">
        <f>IF(S6=0,0,T6/S6)</f>
        <v>0</v>
      </c>
      <c r="Y6" s="44">
        <f t="shared" ref="Y5:Y34" si="7">IF(C6="",0,MAX(0.175,0.35*(0.375+(VLOOKUP(C6,MatrixBeleuchtung,4,FALSE)/800))))</f>
        <v>0</v>
      </c>
      <c r="Z6" s="45">
        <f t="shared" ref="Z5:Z34" si="8">IF(I6="",0,VLOOKUP(I6,MatrixRaumReflex,2,FALSE))</f>
        <v>0</v>
      </c>
      <c r="AA6" s="46">
        <f t="shared" ref="AA6:AA23" si="9">IF(T6=0,1,0.7/U6)</f>
        <v>1</v>
      </c>
      <c r="AB6" s="47">
        <f t="shared" ref="AB5:AB34" si="10">IF(T6=0,0,(IF(J6="",0,VLOOKUP(J6,MatrixWindow,14,FALSE)*VLOOKUP(J6,MatrixWindow,15,FALSE)*VLOOKUP(J6,MatrixWindow,13,FALSE)*K6)+IF(L6="",0,VLOOKUP(L6,MatrixWindow,14,FALSE)*VLOOKUP(L6,MatrixWindow,15,FALSE)*VLOOKUP(L6,MatrixWindow,13,FALSE)*M6)+IF(N6="",0,VLOOKUP(N6,MatrixWindow,14,FALSE)*VLOOKUP(N6,MatrixWindow,15,FALSE)*VLOOKUP(N6,MatrixWindow,13,FALSE)*O6)+IF(P6="",0,VLOOKUP(P6,MatrixWindow,14,FALSE)*VLOOKUP(P6,MatrixWindow,15,FALSE)*VLOOKUP(P6,MatrixWindow,13,FALSE)*Q6))/T6)</f>
        <v>0</v>
      </c>
      <c r="AC6" s="45">
        <f t="shared" ref="AC5:AC34" si="11">IF(T6=0,0,(IF(J6="",0,VLOOKUP(J6,MatrixWindow,16,FALSE)*VLOOKUP(J6,MatrixWindow,13,FALSE)*K6)+IF(L6="",0,VLOOKUP(L6,MatrixWindow,16,FALSE)*VLOOKUP(L6,MatrixWindow,13,FALSE)*M6)+IF(N6="",0,VLOOKUP(N6,MatrixWindow,16,FALSE)*VLOOKUP(N6,MatrixWindow,13,FALSE)*O6)+IF(P6="",0,VLOOKUP(P6,MatrixWindow,16,FALSE)*VLOOKUP(P6,MatrixWindow,13,FALSE)*Q6))/T6)</f>
        <v>0</v>
      </c>
      <c r="AD6" s="45">
        <f t="shared" ref="AD6:AD23" si="12">ROUND(IF((F6-V6)&lt;2,1.8,0.8+(0.2/(F6-V6-1.8))),2)</f>
        <v>1.8</v>
      </c>
      <c r="AE6" s="45">
        <f t="shared" ref="AE5:AE34" si="13">IF(T6=0,0,(IF(J6="",0,VLOOKUP(J6,MatrixWindow,17,FALSE)*VLOOKUP(J6,MatrixWindow,13,FALSE)*K6)+IF(L6="",0,VLOOKUP(L6,MatrixWindow,17,FALSE)*VLOOKUP(L6,MatrixWindow,13,FALSE)*M6)+IF(N6="",0,VLOOKUP(N6,MatrixWindow,17,FALSE)*VLOOKUP(N6,MatrixWindow,13,FALSE)*O6)+IF(P6="",0,VLOOKUP(P6,MatrixWindow,17,FALSE)*VLOOKUP(P6,MatrixWindow,13,FALSE)*Q6))/T6)</f>
        <v>0</v>
      </c>
      <c r="AF6" s="48">
        <f t="shared" ref="AF6:AF23" si="14">MIN(11,2*Z6*AA6*AB6*AC6*MAX(AD6,AE6))</f>
        <v>0</v>
      </c>
      <c r="AG6" s="48">
        <f t="shared" ref="AG6:AG34" si="15">IF(Y6=0,0,IF(X6&gt;Y6,AF6,0.5*(11-AF6)*COS(PI()*X6/Y6)+0.5*(11+AF6)))</f>
        <v>0</v>
      </c>
      <c r="AH6" s="49">
        <f>IF(C6="",0,IF(C6=Constants!$B$88,8.2,9))</f>
        <v>0</v>
      </c>
      <c r="AI6" s="50">
        <f t="shared" ref="AI6:AI23" si="16">MIN(11-AG6,AH6)</f>
        <v>0</v>
      </c>
      <c r="AJ6" s="51">
        <f t="shared" ref="AJ5:AJ34" si="17">IF(OR(AND(AH6=0,AI6=0),AH6=0),0,IF(Typ=NewConstruction,AI6/AH6,IF((AI6/AH6)&gt;=FactorRenovation,((0.5*((AI6/AH6)-FactorRenovation))/(1-FactorRenovation)+0.5),(0.5*(AI6/AH6)/FactorRenovation))))</f>
        <v>0</v>
      </c>
      <c r="AK6" s="111"/>
    </row>
    <row r="7" spans="1:37" ht="14.25" thickTop="1" thickBot="1" x14ac:dyDescent="0.25">
      <c r="A7" s="42">
        <v>3</v>
      </c>
      <c r="B7" s="58"/>
      <c r="C7" s="52"/>
      <c r="D7" s="60"/>
      <c r="E7" s="60"/>
      <c r="F7" s="60"/>
      <c r="G7" s="60"/>
      <c r="H7" s="61"/>
      <c r="I7" s="54"/>
      <c r="J7" s="55"/>
      <c r="K7" s="62"/>
      <c r="L7" s="54"/>
      <c r="M7" s="62"/>
      <c r="N7" s="54"/>
      <c r="O7" s="62"/>
      <c r="P7" s="54"/>
      <c r="Q7" s="64"/>
      <c r="R7" s="193" t="str">
        <f t="shared" si="1"/>
        <v/>
      </c>
      <c r="S7" s="49">
        <f t="shared" si="2"/>
        <v>0</v>
      </c>
      <c r="T7" s="43">
        <f t="shared" si="3"/>
        <v>0</v>
      </c>
      <c r="U7" s="43">
        <f t="shared" si="4"/>
        <v>0</v>
      </c>
      <c r="V7" s="43">
        <f t="shared" si="5"/>
        <v>0</v>
      </c>
      <c r="W7" s="43">
        <f t="shared" si="6"/>
        <v>0</v>
      </c>
      <c r="X7" s="44">
        <f t="shared" ref="X7:X23" si="18">IF(S7=0,0,T7/S7)</f>
        <v>0</v>
      </c>
      <c r="Y7" s="44">
        <f t="shared" si="7"/>
        <v>0</v>
      </c>
      <c r="Z7" s="45">
        <f t="shared" si="8"/>
        <v>0</v>
      </c>
      <c r="AA7" s="46">
        <f t="shared" si="9"/>
        <v>1</v>
      </c>
      <c r="AB7" s="47">
        <f t="shared" si="10"/>
        <v>0</v>
      </c>
      <c r="AC7" s="45">
        <f t="shared" si="11"/>
        <v>0</v>
      </c>
      <c r="AD7" s="45">
        <f t="shared" si="12"/>
        <v>1.8</v>
      </c>
      <c r="AE7" s="45">
        <f t="shared" si="13"/>
        <v>0</v>
      </c>
      <c r="AF7" s="48">
        <f t="shared" si="14"/>
        <v>0</v>
      </c>
      <c r="AG7" s="48">
        <f t="shared" si="15"/>
        <v>0</v>
      </c>
      <c r="AH7" s="49">
        <f>IF(C7="",0,IF(C7=Constants!$B$88,8.2,9))</f>
        <v>0</v>
      </c>
      <c r="AI7" s="50">
        <f t="shared" si="16"/>
        <v>0</v>
      </c>
      <c r="AJ7" s="51">
        <f t="shared" si="17"/>
        <v>0</v>
      </c>
      <c r="AK7" s="111"/>
    </row>
    <row r="8" spans="1:37" ht="14.25" thickTop="1" thickBot="1" x14ac:dyDescent="0.25">
      <c r="A8" s="42">
        <v>4</v>
      </c>
      <c r="B8" s="58"/>
      <c r="C8" s="52"/>
      <c r="D8" s="60"/>
      <c r="E8" s="60"/>
      <c r="F8" s="60"/>
      <c r="G8" s="60"/>
      <c r="H8" s="61"/>
      <c r="I8" s="56"/>
      <c r="J8" s="55"/>
      <c r="K8" s="62"/>
      <c r="L8" s="56"/>
      <c r="M8" s="62"/>
      <c r="N8" s="54"/>
      <c r="O8" s="62"/>
      <c r="P8" s="54"/>
      <c r="Q8" s="64"/>
      <c r="R8" s="193" t="str">
        <f t="shared" si="1"/>
        <v/>
      </c>
      <c r="S8" s="49">
        <f t="shared" si="2"/>
        <v>0</v>
      </c>
      <c r="T8" s="43">
        <f t="shared" si="3"/>
        <v>0</v>
      </c>
      <c r="U8" s="43">
        <f t="shared" si="4"/>
        <v>0</v>
      </c>
      <c r="V8" s="43">
        <f t="shared" si="5"/>
        <v>0</v>
      </c>
      <c r="W8" s="43">
        <f t="shared" si="6"/>
        <v>0</v>
      </c>
      <c r="X8" s="44">
        <f t="shared" si="18"/>
        <v>0</v>
      </c>
      <c r="Y8" s="44">
        <f t="shared" si="7"/>
        <v>0</v>
      </c>
      <c r="Z8" s="45">
        <f t="shared" si="8"/>
        <v>0</v>
      </c>
      <c r="AA8" s="46">
        <f t="shared" si="9"/>
        <v>1</v>
      </c>
      <c r="AB8" s="47">
        <f t="shared" si="10"/>
        <v>0</v>
      </c>
      <c r="AC8" s="45">
        <f t="shared" si="11"/>
        <v>0</v>
      </c>
      <c r="AD8" s="45">
        <f t="shared" si="12"/>
        <v>1.8</v>
      </c>
      <c r="AE8" s="45">
        <f t="shared" si="13"/>
        <v>0</v>
      </c>
      <c r="AF8" s="48">
        <f t="shared" si="14"/>
        <v>0</v>
      </c>
      <c r="AG8" s="48">
        <f t="shared" si="15"/>
        <v>0</v>
      </c>
      <c r="AH8" s="49">
        <f>IF(C8="",0,IF(C8=Constants!$B$88,8.2,9))</f>
        <v>0</v>
      </c>
      <c r="AI8" s="50">
        <f t="shared" si="16"/>
        <v>0</v>
      </c>
      <c r="AJ8" s="51">
        <f t="shared" si="17"/>
        <v>0</v>
      </c>
      <c r="AK8" s="111"/>
    </row>
    <row r="9" spans="1:37" ht="14.25" thickTop="1" thickBot="1" x14ac:dyDescent="0.25">
      <c r="A9" s="42">
        <v>5</v>
      </c>
      <c r="B9" s="58"/>
      <c r="C9" s="52"/>
      <c r="D9" s="60"/>
      <c r="E9" s="60"/>
      <c r="F9" s="60"/>
      <c r="G9" s="60"/>
      <c r="H9" s="61"/>
      <c r="I9" s="56"/>
      <c r="J9" s="55"/>
      <c r="K9" s="62"/>
      <c r="L9" s="56"/>
      <c r="M9" s="62"/>
      <c r="N9" s="54"/>
      <c r="O9" s="62"/>
      <c r="P9" s="54"/>
      <c r="Q9" s="64"/>
      <c r="R9" s="193" t="str">
        <f t="shared" si="1"/>
        <v/>
      </c>
      <c r="S9" s="49">
        <f t="shared" si="2"/>
        <v>0</v>
      </c>
      <c r="T9" s="43">
        <f t="shared" si="3"/>
        <v>0</v>
      </c>
      <c r="U9" s="43">
        <f t="shared" si="4"/>
        <v>0</v>
      </c>
      <c r="V9" s="43">
        <f t="shared" si="5"/>
        <v>0</v>
      </c>
      <c r="W9" s="43">
        <f t="shared" si="6"/>
        <v>0</v>
      </c>
      <c r="X9" s="44">
        <f t="shared" si="18"/>
        <v>0</v>
      </c>
      <c r="Y9" s="44">
        <f t="shared" si="7"/>
        <v>0</v>
      </c>
      <c r="Z9" s="45">
        <f t="shared" si="8"/>
        <v>0</v>
      </c>
      <c r="AA9" s="46">
        <f t="shared" si="9"/>
        <v>1</v>
      </c>
      <c r="AB9" s="47">
        <f t="shared" si="10"/>
        <v>0</v>
      </c>
      <c r="AC9" s="45">
        <f t="shared" si="11"/>
        <v>0</v>
      </c>
      <c r="AD9" s="45">
        <f t="shared" si="12"/>
        <v>1.8</v>
      </c>
      <c r="AE9" s="45">
        <f t="shared" si="13"/>
        <v>0</v>
      </c>
      <c r="AF9" s="48">
        <f t="shared" si="14"/>
        <v>0</v>
      </c>
      <c r="AG9" s="48">
        <f t="shared" si="15"/>
        <v>0</v>
      </c>
      <c r="AH9" s="49">
        <f>IF(C9="",0,IF(C9=Constants!$B$88,8.2,9))</f>
        <v>0</v>
      </c>
      <c r="AI9" s="50">
        <f t="shared" si="16"/>
        <v>0</v>
      </c>
      <c r="AJ9" s="51">
        <f t="shared" si="17"/>
        <v>0</v>
      </c>
      <c r="AK9" s="111"/>
    </row>
    <row r="10" spans="1:37" ht="14.25" thickTop="1" thickBot="1" x14ac:dyDescent="0.25">
      <c r="A10" s="42">
        <v>6</v>
      </c>
      <c r="B10" s="58"/>
      <c r="C10" s="52"/>
      <c r="D10" s="60"/>
      <c r="E10" s="60"/>
      <c r="F10" s="60"/>
      <c r="G10" s="60"/>
      <c r="H10" s="61"/>
      <c r="I10" s="56"/>
      <c r="J10" s="55"/>
      <c r="K10" s="62"/>
      <c r="L10" s="56"/>
      <c r="M10" s="62"/>
      <c r="N10" s="54"/>
      <c r="O10" s="62"/>
      <c r="P10" s="54"/>
      <c r="Q10" s="64"/>
      <c r="R10" s="193" t="str">
        <f t="shared" si="1"/>
        <v/>
      </c>
      <c r="S10" s="49">
        <f t="shared" si="2"/>
        <v>0</v>
      </c>
      <c r="T10" s="43">
        <f t="shared" si="3"/>
        <v>0</v>
      </c>
      <c r="U10" s="43">
        <f t="shared" si="4"/>
        <v>0</v>
      </c>
      <c r="V10" s="43">
        <f t="shared" si="5"/>
        <v>0</v>
      </c>
      <c r="W10" s="43">
        <f t="shared" si="6"/>
        <v>0</v>
      </c>
      <c r="X10" s="44">
        <f t="shared" si="18"/>
        <v>0</v>
      </c>
      <c r="Y10" s="44">
        <f t="shared" si="7"/>
        <v>0</v>
      </c>
      <c r="Z10" s="45">
        <f t="shared" si="8"/>
        <v>0</v>
      </c>
      <c r="AA10" s="46">
        <f t="shared" si="9"/>
        <v>1</v>
      </c>
      <c r="AB10" s="47">
        <f t="shared" si="10"/>
        <v>0</v>
      </c>
      <c r="AC10" s="45">
        <f t="shared" si="11"/>
        <v>0</v>
      </c>
      <c r="AD10" s="45">
        <f t="shared" si="12"/>
        <v>1.8</v>
      </c>
      <c r="AE10" s="45">
        <f t="shared" si="13"/>
        <v>0</v>
      </c>
      <c r="AF10" s="48">
        <f t="shared" si="14"/>
        <v>0</v>
      </c>
      <c r="AG10" s="48">
        <f t="shared" si="15"/>
        <v>0</v>
      </c>
      <c r="AH10" s="49">
        <f>IF(C10="",0,IF(C10=Constants!$B$88,8.2,9))</f>
        <v>0</v>
      </c>
      <c r="AI10" s="50">
        <f t="shared" si="16"/>
        <v>0</v>
      </c>
      <c r="AJ10" s="51">
        <f t="shared" si="17"/>
        <v>0</v>
      </c>
      <c r="AK10" s="111"/>
    </row>
    <row r="11" spans="1:37" ht="14.25" thickTop="1" thickBot="1" x14ac:dyDescent="0.25">
      <c r="A11" s="42">
        <v>7</v>
      </c>
      <c r="B11" s="58"/>
      <c r="C11" s="52"/>
      <c r="D11" s="60"/>
      <c r="E11" s="60"/>
      <c r="F11" s="60"/>
      <c r="G11" s="60"/>
      <c r="H11" s="61"/>
      <c r="I11" s="56"/>
      <c r="J11" s="55"/>
      <c r="K11" s="62"/>
      <c r="L11" s="56"/>
      <c r="M11" s="62"/>
      <c r="N11" s="54"/>
      <c r="O11" s="62"/>
      <c r="P11" s="54"/>
      <c r="Q11" s="64"/>
      <c r="R11" s="193" t="str">
        <f t="shared" si="1"/>
        <v/>
      </c>
      <c r="S11" s="49">
        <f t="shared" si="2"/>
        <v>0</v>
      </c>
      <c r="T11" s="43">
        <f t="shared" si="3"/>
        <v>0</v>
      </c>
      <c r="U11" s="43">
        <f t="shared" si="4"/>
        <v>0</v>
      </c>
      <c r="V11" s="43">
        <f t="shared" si="5"/>
        <v>0</v>
      </c>
      <c r="W11" s="43">
        <f t="shared" si="6"/>
        <v>0</v>
      </c>
      <c r="X11" s="44">
        <f t="shared" si="18"/>
        <v>0</v>
      </c>
      <c r="Y11" s="44">
        <f t="shared" si="7"/>
        <v>0</v>
      </c>
      <c r="Z11" s="45">
        <f t="shared" si="8"/>
        <v>0</v>
      </c>
      <c r="AA11" s="46">
        <f t="shared" si="9"/>
        <v>1</v>
      </c>
      <c r="AB11" s="47">
        <f t="shared" si="10"/>
        <v>0</v>
      </c>
      <c r="AC11" s="45">
        <f t="shared" si="11"/>
        <v>0</v>
      </c>
      <c r="AD11" s="45">
        <f t="shared" si="12"/>
        <v>1.8</v>
      </c>
      <c r="AE11" s="45">
        <f t="shared" si="13"/>
        <v>0</v>
      </c>
      <c r="AF11" s="48">
        <f t="shared" si="14"/>
        <v>0</v>
      </c>
      <c r="AG11" s="48">
        <f t="shared" si="15"/>
        <v>0</v>
      </c>
      <c r="AH11" s="49">
        <f>IF(C11="",0,IF(C11=Constants!$B$88,8.2,9))</f>
        <v>0</v>
      </c>
      <c r="AI11" s="50">
        <f t="shared" si="16"/>
        <v>0</v>
      </c>
      <c r="AJ11" s="51">
        <f t="shared" si="17"/>
        <v>0</v>
      </c>
      <c r="AK11" s="111"/>
    </row>
    <row r="12" spans="1:37" ht="14.25" thickTop="1" thickBot="1" x14ac:dyDescent="0.25">
      <c r="A12" s="42">
        <v>8</v>
      </c>
      <c r="B12" s="58"/>
      <c r="C12" s="52"/>
      <c r="D12" s="60"/>
      <c r="E12" s="60"/>
      <c r="F12" s="60"/>
      <c r="G12" s="60"/>
      <c r="H12" s="61"/>
      <c r="I12" s="56"/>
      <c r="J12" s="55"/>
      <c r="K12" s="62"/>
      <c r="L12" s="56"/>
      <c r="M12" s="62"/>
      <c r="N12" s="56"/>
      <c r="O12" s="62"/>
      <c r="P12" s="56"/>
      <c r="Q12" s="64"/>
      <c r="R12" s="193" t="str">
        <f t="shared" si="1"/>
        <v/>
      </c>
      <c r="S12" s="49">
        <f t="shared" si="2"/>
        <v>0</v>
      </c>
      <c r="T12" s="43">
        <f t="shared" si="3"/>
        <v>0</v>
      </c>
      <c r="U12" s="43">
        <f t="shared" si="4"/>
        <v>0</v>
      </c>
      <c r="V12" s="43">
        <f t="shared" si="5"/>
        <v>0</v>
      </c>
      <c r="W12" s="43">
        <f t="shared" si="6"/>
        <v>0</v>
      </c>
      <c r="X12" s="44">
        <f t="shared" si="18"/>
        <v>0</v>
      </c>
      <c r="Y12" s="44">
        <f t="shared" si="7"/>
        <v>0</v>
      </c>
      <c r="Z12" s="45">
        <f t="shared" si="8"/>
        <v>0</v>
      </c>
      <c r="AA12" s="46">
        <f t="shared" si="9"/>
        <v>1</v>
      </c>
      <c r="AB12" s="47">
        <f t="shared" si="10"/>
        <v>0</v>
      </c>
      <c r="AC12" s="45">
        <f t="shared" si="11"/>
        <v>0</v>
      </c>
      <c r="AD12" s="45">
        <f t="shared" si="12"/>
        <v>1.8</v>
      </c>
      <c r="AE12" s="45">
        <f t="shared" si="13"/>
        <v>0</v>
      </c>
      <c r="AF12" s="48">
        <f t="shared" si="14"/>
        <v>0</v>
      </c>
      <c r="AG12" s="48">
        <f t="shared" si="15"/>
        <v>0</v>
      </c>
      <c r="AH12" s="49">
        <f>IF(C12="",0,IF(C12=Constants!$B$88,8.2,9))</f>
        <v>0</v>
      </c>
      <c r="AI12" s="50">
        <f t="shared" si="16"/>
        <v>0</v>
      </c>
      <c r="AJ12" s="51">
        <f t="shared" si="17"/>
        <v>0</v>
      </c>
      <c r="AK12" s="111"/>
    </row>
    <row r="13" spans="1:37" ht="14.25" thickTop="1" thickBot="1" x14ac:dyDescent="0.25">
      <c r="A13" s="42">
        <v>9</v>
      </c>
      <c r="B13" s="58"/>
      <c r="C13" s="52"/>
      <c r="D13" s="60"/>
      <c r="E13" s="60"/>
      <c r="F13" s="60"/>
      <c r="G13" s="60"/>
      <c r="H13" s="61"/>
      <c r="I13" s="56"/>
      <c r="J13" s="55"/>
      <c r="K13" s="62"/>
      <c r="L13" s="56"/>
      <c r="M13" s="62"/>
      <c r="N13" s="56"/>
      <c r="O13" s="62"/>
      <c r="P13" s="56"/>
      <c r="Q13" s="64"/>
      <c r="R13" s="193" t="str">
        <f t="shared" si="1"/>
        <v/>
      </c>
      <c r="S13" s="49">
        <f t="shared" si="2"/>
        <v>0</v>
      </c>
      <c r="T13" s="43">
        <f t="shared" si="3"/>
        <v>0</v>
      </c>
      <c r="U13" s="43">
        <f t="shared" si="4"/>
        <v>0</v>
      </c>
      <c r="V13" s="43">
        <f t="shared" si="5"/>
        <v>0</v>
      </c>
      <c r="W13" s="43">
        <f t="shared" si="6"/>
        <v>0</v>
      </c>
      <c r="X13" s="44">
        <f t="shared" si="18"/>
        <v>0</v>
      </c>
      <c r="Y13" s="44">
        <f t="shared" si="7"/>
        <v>0</v>
      </c>
      <c r="Z13" s="45">
        <f t="shared" si="8"/>
        <v>0</v>
      </c>
      <c r="AA13" s="46">
        <f t="shared" si="9"/>
        <v>1</v>
      </c>
      <c r="AB13" s="47">
        <f t="shared" si="10"/>
        <v>0</v>
      </c>
      <c r="AC13" s="45">
        <f t="shared" si="11"/>
        <v>0</v>
      </c>
      <c r="AD13" s="45">
        <f t="shared" si="12"/>
        <v>1.8</v>
      </c>
      <c r="AE13" s="45">
        <f t="shared" si="13"/>
        <v>0</v>
      </c>
      <c r="AF13" s="48">
        <f t="shared" si="14"/>
        <v>0</v>
      </c>
      <c r="AG13" s="48">
        <f t="shared" si="15"/>
        <v>0</v>
      </c>
      <c r="AH13" s="49">
        <f>IF(C13="",0,IF(C13=Constants!$B$88,8.2,9))</f>
        <v>0</v>
      </c>
      <c r="AI13" s="50">
        <f t="shared" si="16"/>
        <v>0</v>
      </c>
      <c r="AJ13" s="51">
        <f t="shared" si="17"/>
        <v>0</v>
      </c>
      <c r="AK13" s="111"/>
    </row>
    <row r="14" spans="1:37" ht="14.25" thickTop="1" thickBot="1" x14ac:dyDescent="0.25">
      <c r="A14" s="42">
        <v>10</v>
      </c>
      <c r="B14" s="58"/>
      <c r="C14" s="52"/>
      <c r="D14" s="61"/>
      <c r="E14" s="61"/>
      <c r="F14" s="60"/>
      <c r="G14" s="61"/>
      <c r="H14" s="61"/>
      <c r="I14" s="56"/>
      <c r="J14" s="55"/>
      <c r="K14" s="62"/>
      <c r="L14" s="56"/>
      <c r="M14" s="62"/>
      <c r="N14" s="56"/>
      <c r="O14" s="62"/>
      <c r="P14" s="56"/>
      <c r="Q14" s="64"/>
      <c r="R14" s="193" t="str">
        <f t="shared" si="1"/>
        <v/>
      </c>
      <c r="S14" s="49">
        <f t="shared" si="2"/>
        <v>0</v>
      </c>
      <c r="T14" s="43">
        <f t="shared" si="3"/>
        <v>0</v>
      </c>
      <c r="U14" s="43">
        <f t="shared" si="4"/>
        <v>0</v>
      </c>
      <c r="V14" s="43">
        <f t="shared" si="5"/>
        <v>0</v>
      </c>
      <c r="W14" s="43">
        <f t="shared" si="6"/>
        <v>0</v>
      </c>
      <c r="X14" s="44">
        <f t="shared" si="18"/>
        <v>0</v>
      </c>
      <c r="Y14" s="44">
        <f t="shared" si="7"/>
        <v>0</v>
      </c>
      <c r="Z14" s="45">
        <f t="shared" si="8"/>
        <v>0</v>
      </c>
      <c r="AA14" s="46">
        <f t="shared" si="9"/>
        <v>1</v>
      </c>
      <c r="AB14" s="47">
        <f t="shared" si="10"/>
        <v>0</v>
      </c>
      <c r="AC14" s="45">
        <f t="shared" si="11"/>
        <v>0</v>
      </c>
      <c r="AD14" s="45">
        <f t="shared" si="12"/>
        <v>1.8</v>
      </c>
      <c r="AE14" s="45">
        <f t="shared" si="13"/>
        <v>0</v>
      </c>
      <c r="AF14" s="48">
        <f t="shared" si="14"/>
        <v>0</v>
      </c>
      <c r="AG14" s="48">
        <f t="shared" si="15"/>
        <v>0</v>
      </c>
      <c r="AH14" s="49">
        <f>IF(C14="",0,IF(C14=Constants!$B$88,8.2,9))</f>
        <v>0</v>
      </c>
      <c r="AI14" s="50">
        <f t="shared" si="16"/>
        <v>0</v>
      </c>
      <c r="AJ14" s="51">
        <f t="shared" si="17"/>
        <v>0</v>
      </c>
      <c r="AK14" s="111"/>
    </row>
    <row r="15" spans="1:37" ht="14.25" thickTop="1" thickBot="1" x14ac:dyDescent="0.25">
      <c r="A15" s="42">
        <v>11</v>
      </c>
      <c r="B15" s="58"/>
      <c r="C15" s="52"/>
      <c r="D15" s="61"/>
      <c r="E15" s="61"/>
      <c r="F15" s="60"/>
      <c r="G15" s="61"/>
      <c r="H15" s="61"/>
      <c r="I15" s="56"/>
      <c r="J15" s="55"/>
      <c r="K15" s="62"/>
      <c r="L15" s="56"/>
      <c r="M15" s="62"/>
      <c r="N15" s="56"/>
      <c r="O15" s="62"/>
      <c r="P15" s="56"/>
      <c r="Q15" s="64"/>
      <c r="R15" s="193" t="str">
        <f t="shared" si="1"/>
        <v/>
      </c>
      <c r="S15" s="49">
        <f t="shared" si="2"/>
        <v>0</v>
      </c>
      <c r="T15" s="43">
        <f t="shared" si="3"/>
        <v>0</v>
      </c>
      <c r="U15" s="43">
        <f t="shared" si="4"/>
        <v>0</v>
      </c>
      <c r="V15" s="43">
        <f t="shared" si="5"/>
        <v>0</v>
      </c>
      <c r="W15" s="43">
        <f t="shared" si="6"/>
        <v>0</v>
      </c>
      <c r="X15" s="44">
        <f t="shared" si="18"/>
        <v>0</v>
      </c>
      <c r="Y15" s="44">
        <f t="shared" si="7"/>
        <v>0</v>
      </c>
      <c r="Z15" s="45">
        <f t="shared" si="8"/>
        <v>0</v>
      </c>
      <c r="AA15" s="46">
        <f t="shared" si="9"/>
        <v>1</v>
      </c>
      <c r="AB15" s="47">
        <f t="shared" si="10"/>
        <v>0</v>
      </c>
      <c r="AC15" s="45">
        <f t="shared" si="11"/>
        <v>0</v>
      </c>
      <c r="AD15" s="45">
        <f t="shared" si="12"/>
        <v>1.8</v>
      </c>
      <c r="AE15" s="45">
        <f t="shared" si="13"/>
        <v>0</v>
      </c>
      <c r="AF15" s="48">
        <f t="shared" si="14"/>
        <v>0</v>
      </c>
      <c r="AG15" s="48">
        <f t="shared" si="15"/>
        <v>0</v>
      </c>
      <c r="AH15" s="49">
        <f>IF(C15="",0,IF(C15=Constants!$B$88,8.2,9))</f>
        <v>0</v>
      </c>
      <c r="AI15" s="50">
        <f t="shared" si="16"/>
        <v>0</v>
      </c>
      <c r="AJ15" s="51">
        <f t="shared" si="17"/>
        <v>0</v>
      </c>
      <c r="AK15" s="111"/>
    </row>
    <row r="16" spans="1:37" ht="14.25" thickTop="1" thickBot="1" x14ac:dyDescent="0.25">
      <c r="A16" s="42">
        <v>12</v>
      </c>
      <c r="B16" s="58"/>
      <c r="C16" s="52"/>
      <c r="D16" s="61"/>
      <c r="E16" s="61"/>
      <c r="F16" s="60"/>
      <c r="G16" s="61"/>
      <c r="H16" s="61"/>
      <c r="I16" s="56"/>
      <c r="J16" s="55"/>
      <c r="K16" s="62"/>
      <c r="L16" s="56"/>
      <c r="M16" s="62"/>
      <c r="N16" s="56"/>
      <c r="O16" s="62"/>
      <c r="P16" s="56"/>
      <c r="Q16" s="64"/>
      <c r="R16" s="193" t="str">
        <f t="shared" si="1"/>
        <v/>
      </c>
      <c r="S16" s="49">
        <f t="shared" si="2"/>
        <v>0</v>
      </c>
      <c r="T16" s="43">
        <f t="shared" si="3"/>
        <v>0</v>
      </c>
      <c r="U16" s="43">
        <f t="shared" si="4"/>
        <v>0</v>
      </c>
      <c r="V16" s="43">
        <f t="shared" si="5"/>
        <v>0</v>
      </c>
      <c r="W16" s="43">
        <f t="shared" si="6"/>
        <v>0</v>
      </c>
      <c r="X16" s="44">
        <f t="shared" si="18"/>
        <v>0</v>
      </c>
      <c r="Y16" s="44">
        <f t="shared" si="7"/>
        <v>0</v>
      </c>
      <c r="Z16" s="45">
        <f t="shared" si="8"/>
        <v>0</v>
      </c>
      <c r="AA16" s="46">
        <f t="shared" si="9"/>
        <v>1</v>
      </c>
      <c r="AB16" s="47">
        <f t="shared" si="10"/>
        <v>0</v>
      </c>
      <c r="AC16" s="45">
        <f t="shared" si="11"/>
        <v>0</v>
      </c>
      <c r="AD16" s="45">
        <f t="shared" si="12"/>
        <v>1.8</v>
      </c>
      <c r="AE16" s="45">
        <f t="shared" si="13"/>
        <v>0</v>
      </c>
      <c r="AF16" s="48">
        <f t="shared" si="14"/>
        <v>0</v>
      </c>
      <c r="AG16" s="48">
        <f t="shared" si="15"/>
        <v>0</v>
      </c>
      <c r="AH16" s="49">
        <f>IF(C16="",0,IF(C16=Constants!$B$88,8.2,9))</f>
        <v>0</v>
      </c>
      <c r="AI16" s="50">
        <f t="shared" si="16"/>
        <v>0</v>
      </c>
      <c r="AJ16" s="51">
        <f t="shared" si="17"/>
        <v>0</v>
      </c>
      <c r="AK16" s="111"/>
    </row>
    <row r="17" spans="1:37" ht="14.25" thickTop="1" thickBot="1" x14ac:dyDescent="0.25">
      <c r="A17" s="42">
        <v>13</v>
      </c>
      <c r="B17" s="59"/>
      <c r="C17" s="52"/>
      <c r="D17" s="61"/>
      <c r="E17" s="61"/>
      <c r="F17" s="60"/>
      <c r="G17" s="61"/>
      <c r="H17" s="61"/>
      <c r="I17" s="56"/>
      <c r="J17" s="57"/>
      <c r="K17" s="63"/>
      <c r="L17" s="56"/>
      <c r="M17" s="63"/>
      <c r="N17" s="56"/>
      <c r="O17" s="63"/>
      <c r="P17" s="56"/>
      <c r="Q17" s="64"/>
      <c r="R17" s="193" t="str">
        <f t="shared" si="1"/>
        <v/>
      </c>
      <c r="S17" s="49">
        <f t="shared" si="2"/>
        <v>0</v>
      </c>
      <c r="T17" s="43">
        <f t="shared" si="3"/>
        <v>0</v>
      </c>
      <c r="U17" s="43">
        <f t="shared" si="4"/>
        <v>0</v>
      </c>
      <c r="V17" s="43">
        <f t="shared" si="5"/>
        <v>0</v>
      </c>
      <c r="W17" s="43">
        <f t="shared" si="6"/>
        <v>0</v>
      </c>
      <c r="X17" s="44">
        <f t="shared" si="18"/>
        <v>0</v>
      </c>
      <c r="Y17" s="44">
        <f t="shared" si="7"/>
        <v>0</v>
      </c>
      <c r="Z17" s="45">
        <f t="shared" si="8"/>
        <v>0</v>
      </c>
      <c r="AA17" s="46">
        <f t="shared" si="9"/>
        <v>1</v>
      </c>
      <c r="AB17" s="47">
        <f t="shared" si="10"/>
        <v>0</v>
      </c>
      <c r="AC17" s="45">
        <f t="shared" si="11"/>
        <v>0</v>
      </c>
      <c r="AD17" s="45">
        <f t="shared" si="12"/>
        <v>1.8</v>
      </c>
      <c r="AE17" s="45">
        <f t="shared" si="13"/>
        <v>0</v>
      </c>
      <c r="AF17" s="48">
        <f t="shared" si="14"/>
        <v>0</v>
      </c>
      <c r="AG17" s="48">
        <f t="shared" si="15"/>
        <v>0</v>
      </c>
      <c r="AH17" s="49">
        <f>IF(C17="",0,IF(C17=Constants!$B$88,8.2,9))</f>
        <v>0</v>
      </c>
      <c r="AI17" s="50">
        <f t="shared" si="16"/>
        <v>0</v>
      </c>
      <c r="AJ17" s="51">
        <f t="shared" si="17"/>
        <v>0</v>
      </c>
      <c r="AK17" s="111"/>
    </row>
    <row r="18" spans="1:37" ht="14.25" thickTop="1" thickBot="1" x14ac:dyDescent="0.25">
      <c r="A18" s="42">
        <v>14</v>
      </c>
      <c r="B18" s="59"/>
      <c r="C18" s="52"/>
      <c r="D18" s="61"/>
      <c r="E18" s="61"/>
      <c r="F18" s="60"/>
      <c r="G18" s="61"/>
      <c r="H18" s="61"/>
      <c r="I18" s="56"/>
      <c r="J18" s="57"/>
      <c r="K18" s="63"/>
      <c r="L18" s="56"/>
      <c r="M18" s="63"/>
      <c r="N18" s="56"/>
      <c r="O18" s="63"/>
      <c r="P18" s="56"/>
      <c r="Q18" s="64"/>
      <c r="R18" s="193" t="str">
        <f t="shared" si="1"/>
        <v/>
      </c>
      <c r="S18" s="49">
        <f t="shared" si="2"/>
        <v>0</v>
      </c>
      <c r="T18" s="43">
        <f t="shared" si="3"/>
        <v>0</v>
      </c>
      <c r="U18" s="43">
        <f t="shared" si="4"/>
        <v>0</v>
      </c>
      <c r="V18" s="43">
        <f t="shared" si="5"/>
        <v>0</v>
      </c>
      <c r="W18" s="43">
        <f t="shared" si="6"/>
        <v>0</v>
      </c>
      <c r="X18" s="44">
        <f t="shared" si="18"/>
        <v>0</v>
      </c>
      <c r="Y18" s="44">
        <f t="shared" si="7"/>
        <v>0</v>
      </c>
      <c r="Z18" s="45">
        <f t="shared" si="8"/>
        <v>0</v>
      </c>
      <c r="AA18" s="46">
        <f t="shared" si="9"/>
        <v>1</v>
      </c>
      <c r="AB18" s="47">
        <f t="shared" si="10"/>
        <v>0</v>
      </c>
      <c r="AC18" s="45">
        <f t="shared" si="11"/>
        <v>0</v>
      </c>
      <c r="AD18" s="45">
        <f t="shared" si="12"/>
        <v>1.8</v>
      </c>
      <c r="AE18" s="45">
        <f t="shared" si="13"/>
        <v>0</v>
      </c>
      <c r="AF18" s="48">
        <f t="shared" si="14"/>
        <v>0</v>
      </c>
      <c r="AG18" s="48">
        <f t="shared" si="15"/>
        <v>0</v>
      </c>
      <c r="AH18" s="49">
        <f>IF(C18="",0,IF(C18=Constants!$B$88,8.2,9))</f>
        <v>0</v>
      </c>
      <c r="AI18" s="50">
        <f t="shared" si="16"/>
        <v>0</v>
      </c>
      <c r="AJ18" s="51">
        <f t="shared" si="17"/>
        <v>0</v>
      </c>
      <c r="AK18" s="111"/>
    </row>
    <row r="19" spans="1:37" ht="14.25" thickTop="1" thickBot="1" x14ac:dyDescent="0.25">
      <c r="A19" s="42">
        <v>15</v>
      </c>
      <c r="B19" s="59"/>
      <c r="C19" s="52"/>
      <c r="D19" s="61"/>
      <c r="E19" s="61"/>
      <c r="F19" s="60"/>
      <c r="G19" s="61"/>
      <c r="H19" s="61"/>
      <c r="I19" s="56"/>
      <c r="J19" s="57"/>
      <c r="K19" s="63"/>
      <c r="L19" s="56"/>
      <c r="M19" s="63"/>
      <c r="N19" s="56"/>
      <c r="O19" s="63"/>
      <c r="P19" s="56"/>
      <c r="Q19" s="64"/>
      <c r="R19" s="193" t="str">
        <f t="shared" si="1"/>
        <v/>
      </c>
      <c r="S19" s="49">
        <f t="shared" si="2"/>
        <v>0</v>
      </c>
      <c r="T19" s="43">
        <f t="shared" si="3"/>
        <v>0</v>
      </c>
      <c r="U19" s="43">
        <f t="shared" si="4"/>
        <v>0</v>
      </c>
      <c r="V19" s="43">
        <f t="shared" si="5"/>
        <v>0</v>
      </c>
      <c r="W19" s="43">
        <f t="shared" si="6"/>
        <v>0</v>
      </c>
      <c r="X19" s="44">
        <f t="shared" si="18"/>
        <v>0</v>
      </c>
      <c r="Y19" s="44">
        <f t="shared" si="7"/>
        <v>0</v>
      </c>
      <c r="Z19" s="45">
        <f t="shared" si="8"/>
        <v>0</v>
      </c>
      <c r="AA19" s="46">
        <f t="shared" si="9"/>
        <v>1</v>
      </c>
      <c r="AB19" s="47">
        <f t="shared" si="10"/>
        <v>0</v>
      </c>
      <c r="AC19" s="45">
        <f t="shared" si="11"/>
        <v>0</v>
      </c>
      <c r="AD19" s="45">
        <f t="shared" si="12"/>
        <v>1.8</v>
      </c>
      <c r="AE19" s="45">
        <f t="shared" si="13"/>
        <v>0</v>
      </c>
      <c r="AF19" s="48">
        <f t="shared" si="14"/>
        <v>0</v>
      </c>
      <c r="AG19" s="48">
        <f t="shared" si="15"/>
        <v>0</v>
      </c>
      <c r="AH19" s="49">
        <f>IF(C19="",0,IF(C19=Constants!$B$88,8.2,9))</f>
        <v>0</v>
      </c>
      <c r="AI19" s="50">
        <f t="shared" si="16"/>
        <v>0</v>
      </c>
      <c r="AJ19" s="51">
        <f t="shared" si="17"/>
        <v>0</v>
      </c>
      <c r="AK19" s="111"/>
    </row>
    <row r="20" spans="1:37" ht="14.25" thickTop="1" thickBot="1" x14ac:dyDescent="0.25">
      <c r="A20" s="42">
        <v>16</v>
      </c>
      <c r="B20" s="59"/>
      <c r="C20" s="52"/>
      <c r="D20" s="61"/>
      <c r="E20" s="61"/>
      <c r="F20" s="61"/>
      <c r="G20" s="61"/>
      <c r="H20" s="61"/>
      <c r="I20" s="56"/>
      <c r="J20" s="57"/>
      <c r="K20" s="63"/>
      <c r="L20" s="56"/>
      <c r="M20" s="63"/>
      <c r="N20" s="56"/>
      <c r="O20" s="63"/>
      <c r="P20" s="56"/>
      <c r="Q20" s="65"/>
      <c r="R20" s="193" t="str">
        <f t="shared" si="1"/>
        <v/>
      </c>
      <c r="S20" s="49">
        <f t="shared" si="2"/>
        <v>0</v>
      </c>
      <c r="T20" s="43">
        <f t="shared" si="3"/>
        <v>0</v>
      </c>
      <c r="U20" s="43">
        <f t="shared" si="4"/>
        <v>0</v>
      </c>
      <c r="V20" s="43">
        <f t="shared" si="5"/>
        <v>0</v>
      </c>
      <c r="W20" s="43">
        <f t="shared" si="6"/>
        <v>0</v>
      </c>
      <c r="X20" s="44">
        <f t="shared" si="18"/>
        <v>0</v>
      </c>
      <c r="Y20" s="44">
        <f t="shared" si="7"/>
        <v>0</v>
      </c>
      <c r="Z20" s="45">
        <f t="shared" si="8"/>
        <v>0</v>
      </c>
      <c r="AA20" s="46">
        <f t="shared" si="9"/>
        <v>1</v>
      </c>
      <c r="AB20" s="47">
        <f t="shared" si="10"/>
        <v>0</v>
      </c>
      <c r="AC20" s="45">
        <f t="shared" si="11"/>
        <v>0</v>
      </c>
      <c r="AD20" s="45">
        <f t="shared" si="12"/>
        <v>1.8</v>
      </c>
      <c r="AE20" s="45">
        <f t="shared" si="13"/>
        <v>0</v>
      </c>
      <c r="AF20" s="48">
        <f t="shared" si="14"/>
        <v>0</v>
      </c>
      <c r="AG20" s="48">
        <f t="shared" si="15"/>
        <v>0</v>
      </c>
      <c r="AH20" s="49">
        <f>IF(C20="",0,IF(C20=Constants!$B$88,8.2,9))</f>
        <v>0</v>
      </c>
      <c r="AI20" s="50">
        <f t="shared" si="16"/>
        <v>0</v>
      </c>
      <c r="AJ20" s="51">
        <f t="shared" si="17"/>
        <v>0</v>
      </c>
      <c r="AK20" s="111"/>
    </row>
    <row r="21" spans="1:37" ht="14.25" thickTop="1" thickBot="1" x14ac:dyDescent="0.25">
      <c r="A21" s="42">
        <v>17</v>
      </c>
      <c r="B21" s="59"/>
      <c r="C21" s="52"/>
      <c r="D21" s="61"/>
      <c r="E21" s="61"/>
      <c r="F21" s="61"/>
      <c r="G21" s="61"/>
      <c r="H21" s="61"/>
      <c r="I21" s="56"/>
      <c r="J21" s="57"/>
      <c r="K21" s="63"/>
      <c r="L21" s="56"/>
      <c r="M21" s="63"/>
      <c r="N21" s="56"/>
      <c r="O21" s="63"/>
      <c r="P21" s="56"/>
      <c r="Q21" s="65"/>
      <c r="R21" s="193" t="str">
        <f t="shared" si="1"/>
        <v/>
      </c>
      <c r="S21" s="49">
        <f t="shared" si="2"/>
        <v>0</v>
      </c>
      <c r="T21" s="43">
        <f t="shared" si="3"/>
        <v>0</v>
      </c>
      <c r="U21" s="43">
        <f t="shared" si="4"/>
        <v>0</v>
      </c>
      <c r="V21" s="43">
        <f t="shared" si="5"/>
        <v>0</v>
      </c>
      <c r="W21" s="43">
        <f t="shared" si="6"/>
        <v>0</v>
      </c>
      <c r="X21" s="44">
        <f t="shared" si="18"/>
        <v>0</v>
      </c>
      <c r="Y21" s="44">
        <f t="shared" si="7"/>
        <v>0</v>
      </c>
      <c r="Z21" s="45">
        <f t="shared" si="8"/>
        <v>0</v>
      </c>
      <c r="AA21" s="46">
        <f t="shared" si="9"/>
        <v>1</v>
      </c>
      <c r="AB21" s="47">
        <f t="shared" si="10"/>
        <v>0</v>
      </c>
      <c r="AC21" s="45">
        <f t="shared" si="11"/>
        <v>0</v>
      </c>
      <c r="AD21" s="45">
        <f t="shared" si="12"/>
        <v>1.8</v>
      </c>
      <c r="AE21" s="45">
        <f t="shared" si="13"/>
        <v>0</v>
      </c>
      <c r="AF21" s="48">
        <f t="shared" si="14"/>
        <v>0</v>
      </c>
      <c r="AG21" s="48">
        <f t="shared" si="15"/>
        <v>0</v>
      </c>
      <c r="AH21" s="49">
        <f>IF(C21="",0,IF(C21=Constants!$B$88,8.2,9))</f>
        <v>0</v>
      </c>
      <c r="AI21" s="50">
        <f t="shared" si="16"/>
        <v>0</v>
      </c>
      <c r="AJ21" s="51">
        <f t="shared" si="17"/>
        <v>0</v>
      </c>
      <c r="AK21" s="111"/>
    </row>
    <row r="22" spans="1:37" ht="14.25" thickTop="1" thickBot="1" x14ac:dyDescent="0.25">
      <c r="A22" s="42">
        <v>18</v>
      </c>
      <c r="B22" s="59"/>
      <c r="C22" s="53"/>
      <c r="D22" s="61"/>
      <c r="E22" s="61"/>
      <c r="F22" s="61"/>
      <c r="G22" s="61"/>
      <c r="H22" s="61"/>
      <c r="I22" s="56"/>
      <c r="J22" s="57"/>
      <c r="K22" s="63"/>
      <c r="L22" s="56"/>
      <c r="M22" s="63"/>
      <c r="N22" s="56"/>
      <c r="O22" s="63"/>
      <c r="P22" s="56"/>
      <c r="Q22" s="65"/>
      <c r="R22" s="193" t="str">
        <f t="shared" si="1"/>
        <v/>
      </c>
      <c r="S22" s="49">
        <f t="shared" si="2"/>
        <v>0</v>
      </c>
      <c r="T22" s="43">
        <f t="shared" si="3"/>
        <v>0</v>
      </c>
      <c r="U22" s="43">
        <f t="shared" si="4"/>
        <v>0</v>
      </c>
      <c r="V22" s="43">
        <f t="shared" si="5"/>
        <v>0</v>
      </c>
      <c r="W22" s="43">
        <f t="shared" si="6"/>
        <v>0</v>
      </c>
      <c r="X22" s="44">
        <f t="shared" si="18"/>
        <v>0</v>
      </c>
      <c r="Y22" s="44">
        <f t="shared" si="7"/>
        <v>0</v>
      </c>
      <c r="Z22" s="45">
        <f t="shared" si="8"/>
        <v>0</v>
      </c>
      <c r="AA22" s="46">
        <f t="shared" si="9"/>
        <v>1</v>
      </c>
      <c r="AB22" s="47">
        <f t="shared" si="10"/>
        <v>0</v>
      </c>
      <c r="AC22" s="45">
        <f t="shared" si="11"/>
        <v>0</v>
      </c>
      <c r="AD22" s="45">
        <f t="shared" si="12"/>
        <v>1.8</v>
      </c>
      <c r="AE22" s="45">
        <f t="shared" si="13"/>
        <v>0</v>
      </c>
      <c r="AF22" s="48">
        <f t="shared" si="14"/>
        <v>0</v>
      </c>
      <c r="AG22" s="48">
        <f t="shared" si="15"/>
        <v>0</v>
      </c>
      <c r="AH22" s="49">
        <f>IF(C22="",0,IF(C22=Constants!$B$88,8.2,9))</f>
        <v>0</v>
      </c>
      <c r="AI22" s="50">
        <f t="shared" si="16"/>
        <v>0</v>
      </c>
      <c r="AJ22" s="51">
        <f t="shared" si="17"/>
        <v>0</v>
      </c>
      <c r="AK22" s="111"/>
    </row>
    <row r="23" spans="1:37" ht="14.25" thickTop="1" thickBot="1" x14ac:dyDescent="0.25">
      <c r="A23" s="42">
        <v>19</v>
      </c>
      <c r="B23" s="59"/>
      <c r="C23" s="52"/>
      <c r="D23" s="61"/>
      <c r="E23" s="61"/>
      <c r="F23" s="61"/>
      <c r="G23" s="61"/>
      <c r="H23" s="61"/>
      <c r="I23" s="56"/>
      <c r="J23" s="57"/>
      <c r="K23" s="63"/>
      <c r="L23" s="56"/>
      <c r="M23" s="63"/>
      <c r="N23" s="56"/>
      <c r="O23" s="63"/>
      <c r="P23" s="56"/>
      <c r="Q23" s="65"/>
      <c r="R23" s="193" t="str">
        <f t="shared" si="1"/>
        <v/>
      </c>
      <c r="S23" s="49">
        <f t="shared" si="2"/>
        <v>0</v>
      </c>
      <c r="T23" s="43">
        <f t="shared" si="3"/>
        <v>0</v>
      </c>
      <c r="U23" s="43">
        <f t="shared" si="4"/>
        <v>0</v>
      </c>
      <c r="V23" s="43">
        <f t="shared" si="5"/>
        <v>0</v>
      </c>
      <c r="W23" s="43">
        <f t="shared" si="6"/>
        <v>0</v>
      </c>
      <c r="X23" s="44">
        <f t="shared" si="18"/>
        <v>0</v>
      </c>
      <c r="Y23" s="44">
        <f t="shared" si="7"/>
        <v>0</v>
      </c>
      <c r="Z23" s="45">
        <f t="shared" si="8"/>
        <v>0</v>
      </c>
      <c r="AA23" s="46">
        <f t="shared" si="9"/>
        <v>1</v>
      </c>
      <c r="AB23" s="47">
        <f t="shared" si="10"/>
        <v>0</v>
      </c>
      <c r="AC23" s="45">
        <f t="shared" si="11"/>
        <v>0</v>
      </c>
      <c r="AD23" s="45">
        <f t="shared" si="12"/>
        <v>1.8</v>
      </c>
      <c r="AE23" s="45">
        <f t="shared" si="13"/>
        <v>0</v>
      </c>
      <c r="AF23" s="48">
        <f t="shared" si="14"/>
        <v>0</v>
      </c>
      <c r="AG23" s="48">
        <f t="shared" si="15"/>
        <v>0</v>
      </c>
      <c r="AH23" s="49">
        <f>IF(C23="",0,IF(C23=Constants!$B$88,8.2,9))</f>
        <v>0</v>
      </c>
      <c r="AI23" s="50">
        <f t="shared" si="16"/>
        <v>0</v>
      </c>
      <c r="AJ23" s="51">
        <f t="shared" si="17"/>
        <v>0</v>
      </c>
      <c r="AK23" s="111"/>
    </row>
    <row r="24" spans="1:37" ht="14.25" thickTop="1" thickBot="1" x14ac:dyDescent="0.25">
      <c r="A24" s="42">
        <v>20</v>
      </c>
      <c r="B24" s="59"/>
      <c r="C24" s="52"/>
      <c r="D24" s="61"/>
      <c r="E24" s="61"/>
      <c r="F24" s="61"/>
      <c r="G24" s="61"/>
      <c r="H24" s="61"/>
      <c r="I24" s="56"/>
      <c r="J24" s="57"/>
      <c r="K24" s="63"/>
      <c r="L24" s="56"/>
      <c r="M24" s="63"/>
      <c r="N24" s="56"/>
      <c r="O24" s="63"/>
      <c r="P24" s="56"/>
      <c r="Q24" s="65"/>
      <c r="R24" s="193" t="str">
        <f t="shared" si="1"/>
        <v/>
      </c>
      <c r="S24" s="49">
        <f t="shared" ref="S24:S34" si="19">IF(OR(G24=0,G24=""),(D24*E24),G24)</f>
        <v>0</v>
      </c>
      <c r="T24" s="43">
        <f t="shared" si="3"/>
        <v>0</v>
      </c>
      <c r="U24" s="43">
        <f t="shared" si="4"/>
        <v>0</v>
      </c>
      <c r="V24" s="43">
        <f t="shared" si="5"/>
        <v>0</v>
      </c>
      <c r="W24" s="43">
        <f t="shared" si="6"/>
        <v>0</v>
      </c>
      <c r="X24" s="44">
        <f t="shared" ref="X24:X34" si="20">IF(S24=0,0,T24/S24)</f>
        <v>0</v>
      </c>
      <c r="Y24" s="44">
        <f t="shared" si="7"/>
        <v>0</v>
      </c>
      <c r="Z24" s="45">
        <f t="shared" si="8"/>
        <v>0</v>
      </c>
      <c r="AA24" s="46">
        <f t="shared" ref="AA24:AA34" si="21">IF(T24=0,1,0.7/U24)</f>
        <v>1</v>
      </c>
      <c r="AB24" s="47">
        <f t="shared" si="10"/>
        <v>0</v>
      </c>
      <c r="AC24" s="45">
        <f t="shared" si="11"/>
        <v>0</v>
      </c>
      <c r="AD24" s="45">
        <f t="shared" ref="AD24:AD34" si="22">ROUND(IF((F24-V24)&lt;2,1.8,0.8+(0.2/(F24-V24-1.8))),2)</f>
        <v>1.8</v>
      </c>
      <c r="AE24" s="45">
        <f t="shared" si="13"/>
        <v>0</v>
      </c>
      <c r="AF24" s="48">
        <f t="shared" ref="AF24:AF34" si="23">MIN(11,2*Z24*AA24*AB24*AC24*MAX(AD24,AE24))</f>
        <v>0</v>
      </c>
      <c r="AG24" s="48">
        <f t="shared" si="15"/>
        <v>0</v>
      </c>
      <c r="AH24" s="49">
        <f>IF(C24="",0,IF(C24=Constants!$B$88,8.2,9))</f>
        <v>0</v>
      </c>
      <c r="AI24" s="50">
        <f t="shared" ref="AI24:AI34" si="24">MIN(11-AG24,AH24)</f>
        <v>0</v>
      </c>
      <c r="AJ24" s="51">
        <f t="shared" si="17"/>
        <v>0</v>
      </c>
      <c r="AK24" s="111"/>
    </row>
    <row r="25" spans="1:37" ht="14.25" thickTop="1" thickBot="1" x14ac:dyDescent="0.25">
      <c r="A25" s="42">
        <v>21</v>
      </c>
      <c r="B25" s="59"/>
      <c r="C25" s="52"/>
      <c r="D25" s="61"/>
      <c r="E25" s="61"/>
      <c r="F25" s="61"/>
      <c r="G25" s="61"/>
      <c r="H25" s="61"/>
      <c r="I25" s="56"/>
      <c r="J25" s="57"/>
      <c r="K25" s="63"/>
      <c r="L25" s="56"/>
      <c r="M25" s="63"/>
      <c r="N25" s="56"/>
      <c r="O25" s="63"/>
      <c r="P25" s="56"/>
      <c r="Q25" s="65"/>
      <c r="R25" s="193" t="str">
        <f t="shared" si="1"/>
        <v/>
      </c>
      <c r="S25" s="49">
        <f t="shared" si="19"/>
        <v>0</v>
      </c>
      <c r="T25" s="43">
        <f t="shared" si="3"/>
        <v>0</v>
      </c>
      <c r="U25" s="43">
        <f t="shared" si="4"/>
        <v>0</v>
      </c>
      <c r="V25" s="43">
        <f t="shared" si="5"/>
        <v>0</v>
      </c>
      <c r="W25" s="43">
        <f t="shared" si="6"/>
        <v>0</v>
      </c>
      <c r="X25" s="44">
        <f t="shared" si="20"/>
        <v>0</v>
      </c>
      <c r="Y25" s="44">
        <f t="shared" si="7"/>
        <v>0</v>
      </c>
      <c r="Z25" s="45">
        <f t="shared" si="8"/>
        <v>0</v>
      </c>
      <c r="AA25" s="46">
        <f t="shared" si="21"/>
        <v>1</v>
      </c>
      <c r="AB25" s="47">
        <f t="shared" si="10"/>
        <v>0</v>
      </c>
      <c r="AC25" s="45">
        <f t="shared" si="11"/>
        <v>0</v>
      </c>
      <c r="AD25" s="45">
        <f t="shared" si="22"/>
        <v>1.8</v>
      </c>
      <c r="AE25" s="45">
        <f t="shared" si="13"/>
        <v>0</v>
      </c>
      <c r="AF25" s="48">
        <f t="shared" si="23"/>
        <v>0</v>
      </c>
      <c r="AG25" s="48">
        <f t="shared" si="15"/>
        <v>0</v>
      </c>
      <c r="AH25" s="49">
        <f>IF(C25="",0,IF(C25=Constants!$B$88,8.2,9))</f>
        <v>0</v>
      </c>
      <c r="AI25" s="50">
        <f t="shared" si="24"/>
        <v>0</v>
      </c>
      <c r="AJ25" s="51">
        <f t="shared" si="17"/>
        <v>0</v>
      </c>
      <c r="AK25" s="111"/>
    </row>
    <row r="26" spans="1:37" ht="14.25" thickTop="1" thickBot="1" x14ac:dyDescent="0.25">
      <c r="A26" s="42">
        <v>22</v>
      </c>
      <c r="B26" s="59"/>
      <c r="C26" s="52"/>
      <c r="D26" s="61"/>
      <c r="E26" s="61"/>
      <c r="F26" s="61"/>
      <c r="G26" s="61"/>
      <c r="H26" s="61"/>
      <c r="I26" s="56"/>
      <c r="J26" s="57"/>
      <c r="K26" s="63"/>
      <c r="L26" s="56"/>
      <c r="M26" s="63"/>
      <c r="N26" s="56"/>
      <c r="O26" s="63"/>
      <c r="P26" s="56"/>
      <c r="Q26" s="65"/>
      <c r="R26" s="193" t="str">
        <f t="shared" si="1"/>
        <v/>
      </c>
      <c r="S26" s="49">
        <f t="shared" si="19"/>
        <v>0</v>
      </c>
      <c r="T26" s="43">
        <f t="shared" si="3"/>
        <v>0</v>
      </c>
      <c r="U26" s="43">
        <f t="shared" si="4"/>
        <v>0</v>
      </c>
      <c r="V26" s="43">
        <f t="shared" si="5"/>
        <v>0</v>
      </c>
      <c r="W26" s="43">
        <f t="shared" si="6"/>
        <v>0</v>
      </c>
      <c r="X26" s="44">
        <f t="shared" si="20"/>
        <v>0</v>
      </c>
      <c r="Y26" s="44">
        <f t="shared" si="7"/>
        <v>0</v>
      </c>
      <c r="Z26" s="45">
        <f t="shared" si="8"/>
        <v>0</v>
      </c>
      <c r="AA26" s="46">
        <f t="shared" si="21"/>
        <v>1</v>
      </c>
      <c r="AB26" s="47">
        <f t="shared" si="10"/>
        <v>0</v>
      </c>
      <c r="AC26" s="45">
        <f t="shared" si="11"/>
        <v>0</v>
      </c>
      <c r="AD26" s="45">
        <f t="shared" si="22"/>
        <v>1.8</v>
      </c>
      <c r="AE26" s="45">
        <f t="shared" si="13"/>
        <v>0</v>
      </c>
      <c r="AF26" s="48">
        <f t="shared" si="23"/>
        <v>0</v>
      </c>
      <c r="AG26" s="48">
        <f t="shared" si="15"/>
        <v>0</v>
      </c>
      <c r="AH26" s="49">
        <f>IF(C26="",0,IF(C26=Constants!$B$88,8.2,9))</f>
        <v>0</v>
      </c>
      <c r="AI26" s="50">
        <f t="shared" si="24"/>
        <v>0</v>
      </c>
      <c r="AJ26" s="51">
        <f t="shared" si="17"/>
        <v>0</v>
      </c>
      <c r="AK26" s="111"/>
    </row>
    <row r="27" spans="1:37" ht="14.25" thickTop="1" thickBot="1" x14ac:dyDescent="0.25">
      <c r="A27" s="42">
        <v>23</v>
      </c>
      <c r="B27" s="59"/>
      <c r="C27" s="52"/>
      <c r="D27" s="61"/>
      <c r="E27" s="61"/>
      <c r="F27" s="61"/>
      <c r="G27" s="61"/>
      <c r="H27" s="61"/>
      <c r="I27" s="56"/>
      <c r="J27" s="57"/>
      <c r="K27" s="63"/>
      <c r="L27" s="56"/>
      <c r="M27" s="63"/>
      <c r="N27" s="56"/>
      <c r="O27" s="63"/>
      <c r="P27" s="56"/>
      <c r="Q27" s="65"/>
      <c r="R27" s="193" t="str">
        <f t="shared" si="1"/>
        <v/>
      </c>
      <c r="S27" s="49">
        <f t="shared" si="19"/>
        <v>0</v>
      </c>
      <c r="T27" s="43">
        <f t="shared" si="3"/>
        <v>0</v>
      </c>
      <c r="U27" s="43">
        <f t="shared" si="4"/>
        <v>0</v>
      </c>
      <c r="V27" s="43">
        <f t="shared" si="5"/>
        <v>0</v>
      </c>
      <c r="W27" s="43">
        <f t="shared" si="6"/>
        <v>0</v>
      </c>
      <c r="X27" s="44">
        <f t="shared" si="20"/>
        <v>0</v>
      </c>
      <c r="Y27" s="44">
        <f t="shared" si="7"/>
        <v>0</v>
      </c>
      <c r="Z27" s="45">
        <f t="shared" si="8"/>
        <v>0</v>
      </c>
      <c r="AA27" s="46">
        <f t="shared" si="21"/>
        <v>1</v>
      </c>
      <c r="AB27" s="47">
        <f t="shared" si="10"/>
        <v>0</v>
      </c>
      <c r="AC27" s="45">
        <f t="shared" si="11"/>
        <v>0</v>
      </c>
      <c r="AD27" s="45">
        <f t="shared" si="22"/>
        <v>1.8</v>
      </c>
      <c r="AE27" s="45">
        <f t="shared" si="13"/>
        <v>0</v>
      </c>
      <c r="AF27" s="48">
        <f t="shared" si="23"/>
        <v>0</v>
      </c>
      <c r="AG27" s="48">
        <f t="shared" si="15"/>
        <v>0</v>
      </c>
      <c r="AH27" s="49">
        <f>IF(C27="",0,IF(C27=Constants!$B$88,8.2,9))</f>
        <v>0</v>
      </c>
      <c r="AI27" s="50">
        <f t="shared" si="24"/>
        <v>0</v>
      </c>
      <c r="AJ27" s="51">
        <f t="shared" si="17"/>
        <v>0</v>
      </c>
      <c r="AK27" s="111"/>
    </row>
    <row r="28" spans="1:37" ht="14.25" thickTop="1" thickBot="1" x14ac:dyDescent="0.25">
      <c r="A28" s="42">
        <v>24</v>
      </c>
      <c r="B28" s="59"/>
      <c r="C28" s="52"/>
      <c r="D28" s="61"/>
      <c r="E28" s="61"/>
      <c r="F28" s="61"/>
      <c r="G28" s="61"/>
      <c r="H28" s="61"/>
      <c r="I28" s="56"/>
      <c r="J28" s="57"/>
      <c r="K28" s="63"/>
      <c r="L28" s="56"/>
      <c r="M28" s="63"/>
      <c r="N28" s="56"/>
      <c r="O28" s="63"/>
      <c r="P28" s="56"/>
      <c r="Q28" s="65"/>
      <c r="R28" s="193" t="str">
        <f t="shared" si="1"/>
        <v/>
      </c>
      <c r="S28" s="49">
        <f t="shared" si="19"/>
        <v>0</v>
      </c>
      <c r="T28" s="43">
        <f t="shared" si="3"/>
        <v>0</v>
      </c>
      <c r="U28" s="43">
        <f t="shared" si="4"/>
        <v>0</v>
      </c>
      <c r="V28" s="43">
        <f t="shared" si="5"/>
        <v>0</v>
      </c>
      <c r="W28" s="43">
        <f t="shared" si="6"/>
        <v>0</v>
      </c>
      <c r="X28" s="44">
        <f t="shared" si="20"/>
        <v>0</v>
      </c>
      <c r="Y28" s="44">
        <f t="shared" si="7"/>
        <v>0</v>
      </c>
      <c r="Z28" s="45">
        <f t="shared" si="8"/>
        <v>0</v>
      </c>
      <c r="AA28" s="46">
        <f t="shared" si="21"/>
        <v>1</v>
      </c>
      <c r="AB28" s="47">
        <f t="shared" si="10"/>
        <v>0</v>
      </c>
      <c r="AC28" s="45">
        <f t="shared" si="11"/>
        <v>0</v>
      </c>
      <c r="AD28" s="45">
        <f t="shared" si="22"/>
        <v>1.8</v>
      </c>
      <c r="AE28" s="45">
        <f t="shared" si="13"/>
        <v>0</v>
      </c>
      <c r="AF28" s="48">
        <f t="shared" si="23"/>
        <v>0</v>
      </c>
      <c r="AG28" s="48">
        <f t="shared" si="15"/>
        <v>0</v>
      </c>
      <c r="AH28" s="49">
        <f>IF(C28="",0,IF(C28=Constants!$B$88,8.2,9))</f>
        <v>0</v>
      </c>
      <c r="AI28" s="50">
        <f t="shared" si="24"/>
        <v>0</v>
      </c>
      <c r="AJ28" s="51">
        <f t="shared" si="17"/>
        <v>0</v>
      </c>
      <c r="AK28" s="111"/>
    </row>
    <row r="29" spans="1:37" ht="14.25" thickTop="1" thickBot="1" x14ac:dyDescent="0.25">
      <c r="A29" s="42">
        <v>25</v>
      </c>
      <c r="B29" s="59"/>
      <c r="C29" s="52"/>
      <c r="D29" s="61"/>
      <c r="E29" s="61"/>
      <c r="F29" s="61"/>
      <c r="G29" s="61"/>
      <c r="H29" s="61"/>
      <c r="I29" s="56"/>
      <c r="J29" s="57"/>
      <c r="K29" s="63"/>
      <c r="L29" s="56"/>
      <c r="M29" s="63"/>
      <c r="N29" s="56"/>
      <c r="O29" s="63"/>
      <c r="P29" s="56"/>
      <c r="Q29" s="65"/>
      <c r="R29" s="193" t="str">
        <f t="shared" si="1"/>
        <v/>
      </c>
      <c r="S29" s="49">
        <f t="shared" si="19"/>
        <v>0</v>
      </c>
      <c r="T29" s="43">
        <f t="shared" si="3"/>
        <v>0</v>
      </c>
      <c r="U29" s="43">
        <f t="shared" si="4"/>
        <v>0</v>
      </c>
      <c r="V29" s="43">
        <f t="shared" si="5"/>
        <v>0</v>
      </c>
      <c r="W29" s="43">
        <f t="shared" si="6"/>
        <v>0</v>
      </c>
      <c r="X29" s="44">
        <f t="shared" si="20"/>
        <v>0</v>
      </c>
      <c r="Y29" s="44">
        <f t="shared" si="7"/>
        <v>0</v>
      </c>
      <c r="Z29" s="45">
        <f t="shared" si="8"/>
        <v>0</v>
      </c>
      <c r="AA29" s="46">
        <f t="shared" si="21"/>
        <v>1</v>
      </c>
      <c r="AB29" s="47">
        <f t="shared" si="10"/>
        <v>0</v>
      </c>
      <c r="AC29" s="45">
        <f t="shared" si="11"/>
        <v>0</v>
      </c>
      <c r="AD29" s="45">
        <f t="shared" si="22"/>
        <v>1.8</v>
      </c>
      <c r="AE29" s="45">
        <f t="shared" si="13"/>
        <v>0</v>
      </c>
      <c r="AF29" s="48">
        <f t="shared" si="23"/>
        <v>0</v>
      </c>
      <c r="AG29" s="48">
        <f t="shared" si="15"/>
        <v>0</v>
      </c>
      <c r="AH29" s="49">
        <f>IF(C29="",0,IF(C29=Constants!$B$88,8.2,9))</f>
        <v>0</v>
      </c>
      <c r="AI29" s="50">
        <f t="shared" si="24"/>
        <v>0</v>
      </c>
      <c r="AJ29" s="51">
        <f t="shared" si="17"/>
        <v>0</v>
      </c>
      <c r="AK29" s="111"/>
    </row>
    <row r="30" spans="1:37" ht="14.25" thickTop="1" thickBot="1" x14ac:dyDescent="0.25">
      <c r="A30" s="42">
        <v>26</v>
      </c>
      <c r="B30" s="59"/>
      <c r="C30" s="52"/>
      <c r="D30" s="61"/>
      <c r="E30" s="61"/>
      <c r="F30" s="61"/>
      <c r="G30" s="61"/>
      <c r="H30" s="61"/>
      <c r="I30" s="56"/>
      <c r="J30" s="57"/>
      <c r="K30" s="63"/>
      <c r="L30" s="56"/>
      <c r="M30" s="63"/>
      <c r="N30" s="56"/>
      <c r="O30" s="63"/>
      <c r="P30" s="56"/>
      <c r="Q30" s="65"/>
      <c r="R30" s="193" t="str">
        <f t="shared" si="1"/>
        <v/>
      </c>
      <c r="S30" s="49">
        <f t="shared" si="19"/>
        <v>0</v>
      </c>
      <c r="T30" s="43">
        <f t="shared" si="3"/>
        <v>0</v>
      </c>
      <c r="U30" s="43">
        <f t="shared" si="4"/>
        <v>0</v>
      </c>
      <c r="V30" s="43">
        <f t="shared" si="5"/>
        <v>0</v>
      </c>
      <c r="W30" s="43">
        <f t="shared" si="6"/>
        <v>0</v>
      </c>
      <c r="X30" s="44">
        <f t="shared" si="20"/>
        <v>0</v>
      </c>
      <c r="Y30" s="44">
        <f t="shared" si="7"/>
        <v>0</v>
      </c>
      <c r="Z30" s="45">
        <f t="shared" si="8"/>
        <v>0</v>
      </c>
      <c r="AA30" s="46">
        <f t="shared" si="21"/>
        <v>1</v>
      </c>
      <c r="AB30" s="47">
        <f t="shared" si="10"/>
        <v>0</v>
      </c>
      <c r="AC30" s="45">
        <f t="shared" si="11"/>
        <v>0</v>
      </c>
      <c r="AD30" s="45">
        <f t="shared" si="22"/>
        <v>1.8</v>
      </c>
      <c r="AE30" s="45">
        <f t="shared" si="13"/>
        <v>0</v>
      </c>
      <c r="AF30" s="48">
        <f t="shared" si="23"/>
        <v>0</v>
      </c>
      <c r="AG30" s="48">
        <f t="shared" si="15"/>
        <v>0</v>
      </c>
      <c r="AH30" s="49">
        <f>IF(C30="",0,IF(C30=Constants!$B$88,8.2,9))</f>
        <v>0</v>
      </c>
      <c r="AI30" s="50">
        <f t="shared" si="24"/>
        <v>0</v>
      </c>
      <c r="AJ30" s="51">
        <f t="shared" si="17"/>
        <v>0</v>
      </c>
      <c r="AK30" s="111"/>
    </row>
    <row r="31" spans="1:37" ht="14.25" thickTop="1" thickBot="1" x14ac:dyDescent="0.25">
      <c r="A31" s="42">
        <v>27</v>
      </c>
      <c r="B31" s="59"/>
      <c r="C31" s="52"/>
      <c r="D31" s="61"/>
      <c r="E31" s="61"/>
      <c r="F31" s="61"/>
      <c r="G31" s="61"/>
      <c r="H31" s="61"/>
      <c r="I31" s="56"/>
      <c r="J31" s="57"/>
      <c r="K31" s="63"/>
      <c r="L31" s="56"/>
      <c r="M31" s="63"/>
      <c r="N31" s="56"/>
      <c r="O31" s="63"/>
      <c r="P31" s="56"/>
      <c r="Q31" s="65"/>
      <c r="R31" s="193" t="str">
        <f t="shared" si="1"/>
        <v/>
      </c>
      <c r="S31" s="49">
        <f t="shared" si="19"/>
        <v>0</v>
      </c>
      <c r="T31" s="43">
        <f t="shared" si="3"/>
        <v>0</v>
      </c>
      <c r="U31" s="43">
        <f t="shared" si="4"/>
        <v>0</v>
      </c>
      <c r="V31" s="43">
        <f t="shared" si="5"/>
        <v>0</v>
      </c>
      <c r="W31" s="43">
        <f t="shared" si="6"/>
        <v>0</v>
      </c>
      <c r="X31" s="44">
        <f t="shared" si="20"/>
        <v>0</v>
      </c>
      <c r="Y31" s="44">
        <f t="shared" si="7"/>
        <v>0</v>
      </c>
      <c r="Z31" s="45">
        <f t="shared" si="8"/>
        <v>0</v>
      </c>
      <c r="AA31" s="46">
        <f t="shared" si="21"/>
        <v>1</v>
      </c>
      <c r="AB31" s="47">
        <f t="shared" si="10"/>
        <v>0</v>
      </c>
      <c r="AC31" s="45">
        <f t="shared" si="11"/>
        <v>0</v>
      </c>
      <c r="AD31" s="45">
        <f t="shared" si="22"/>
        <v>1.8</v>
      </c>
      <c r="AE31" s="45">
        <f t="shared" si="13"/>
        <v>0</v>
      </c>
      <c r="AF31" s="48">
        <f t="shared" si="23"/>
        <v>0</v>
      </c>
      <c r="AG31" s="48">
        <f t="shared" si="15"/>
        <v>0</v>
      </c>
      <c r="AH31" s="49">
        <f>IF(C31="",0,IF(C31=Constants!$B$88,8.2,9))</f>
        <v>0</v>
      </c>
      <c r="AI31" s="50">
        <f t="shared" si="24"/>
        <v>0</v>
      </c>
      <c r="AJ31" s="51">
        <f t="shared" si="17"/>
        <v>0</v>
      </c>
      <c r="AK31" s="111"/>
    </row>
    <row r="32" spans="1:37" ht="14.25" thickTop="1" thickBot="1" x14ac:dyDescent="0.25">
      <c r="A32" s="42">
        <v>28</v>
      </c>
      <c r="B32" s="59"/>
      <c r="C32" s="52"/>
      <c r="D32" s="61"/>
      <c r="E32" s="61"/>
      <c r="F32" s="61"/>
      <c r="G32" s="61"/>
      <c r="H32" s="61"/>
      <c r="I32" s="56"/>
      <c r="J32" s="57"/>
      <c r="K32" s="63"/>
      <c r="L32" s="56"/>
      <c r="M32" s="63"/>
      <c r="N32" s="56"/>
      <c r="O32" s="63"/>
      <c r="P32" s="56"/>
      <c r="Q32" s="65"/>
      <c r="R32" s="193" t="str">
        <f t="shared" si="1"/>
        <v/>
      </c>
      <c r="S32" s="49">
        <f t="shared" si="19"/>
        <v>0</v>
      </c>
      <c r="T32" s="43">
        <f t="shared" si="3"/>
        <v>0</v>
      </c>
      <c r="U32" s="43">
        <f t="shared" si="4"/>
        <v>0</v>
      </c>
      <c r="V32" s="43">
        <f t="shared" si="5"/>
        <v>0</v>
      </c>
      <c r="W32" s="43">
        <f t="shared" si="6"/>
        <v>0</v>
      </c>
      <c r="X32" s="44">
        <f t="shared" si="20"/>
        <v>0</v>
      </c>
      <c r="Y32" s="44">
        <f t="shared" si="7"/>
        <v>0</v>
      </c>
      <c r="Z32" s="45">
        <f t="shared" si="8"/>
        <v>0</v>
      </c>
      <c r="AA32" s="46">
        <f t="shared" si="21"/>
        <v>1</v>
      </c>
      <c r="AB32" s="47">
        <f t="shared" si="10"/>
        <v>0</v>
      </c>
      <c r="AC32" s="45">
        <f t="shared" si="11"/>
        <v>0</v>
      </c>
      <c r="AD32" s="45">
        <f t="shared" si="22"/>
        <v>1.8</v>
      </c>
      <c r="AE32" s="45">
        <f t="shared" si="13"/>
        <v>0</v>
      </c>
      <c r="AF32" s="48">
        <f t="shared" si="23"/>
        <v>0</v>
      </c>
      <c r="AG32" s="48">
        <f t="shared" si="15"/>
        <v>0</v>
      </c>
      <c r="AH32" s="49">
        <f>IF(C32="",0,IF(C32=Constants!$B$88,8.2,9))</f>
        <v>0</v>
      </c>
      <c r="AI32" s="50">
        <f t="shared" si="24"/>
        <v>0</v>
      </c>
      <c r="AJ32" s="51">
        <f t="shared" si="17"/>
        <v>0</v>
      </c>
      <c r="AK32" s="111"/>
    </row>
    <row r="33" spans="1:37" ht="14.25" thickTop="1" thickBot="1" x14ac:dyDescent="0.25">
      <c r="A33" s="42">
        <v>29</v>
      </c>
      <c r="B33" s="59"/>
      <c r="C33" s="52"/>
      <c r="D33" s="61"/>
      <c r="E33" s="61"/>
      <c r="F33" s="61"/>
      <c r="G33" s="61"/>
      <c r="H33" s="61"/>
      <c r="I33" s="56"/>
      <c r="J33" s="57"/>
      <c r="K33" s="63"/>
      <c r="L33" s="56"/>
      <c r="M33" s="63"/>
      <c r="N33" s="56"/>
      <c r="O33" s="63"/>
      <c r="P33" s="56"/>
      <c r="Q33" s="65"/>
      <c r="R33" s="193" t="str">
        <f t="shared" si="1"/>
        <v/>
      </c>
      <c r="S33" s="49">
        <f t="shared" si="19"/>
        <v>0</v>
      </c>
      <c r="T33" s="43">
        <f t="shared" si="3"/>
        <v>0</v>
      </c>
      <c r="U33" s="43">
        <f t="shared" si="4"/>
        <v>0</v>
      </c>
      <c r="V33" s="43">
        <f t="shared" si="5"/>
        <v>0</v>
      </c>
      <c r="W33" s="43">
        <f t="shared" si="6"/>
        <v>0</v>
      </c>
      <c r="X33" s="44">
        <f t="shared" si="20"/>
        <v>0</v>
      </c>
      <c r="Y33" s="44">
        <f t="shared" si="7"/>
        <v>0</v>
      </c>
      <c r="Z33" s="45">
        <f t="shared" si="8"/>
        <v>0</v>
      </c>
      <c r="AA33" s="46">
        <f t="shared" si="21"/>
        <v>1</v>
      </c>
      <c r="AB33" s="47">
        <f t="shared" si="10"/>
        <v>0</v>
      </c>
      <c r="AC33" s="45">
        <f t="shared" si="11"/>
        <v>0</v>
      </c>
      <c r="AD33" s="45">
        <f t="shared" si="22"/>
        <v>1.8</v>
      </c>
      <c r="AE33" s="45">
        <f t="shared" si="13"/>
        <v>0</v>
      </c>
      <c r="AF33" s="48">
        <f t="shared" si="23"/>
        <v>0</v>
      </c>
      <c r="AG33" s="48">
        <f t="shared" si="15"/>
        <v>0</v>
      </c>
      <c r="AH33" s="49">
        <f>IF(C33="",0,IF(C33=Constants!$B$88,8.2,9))</f>
        <v>0</v>
      </c>
      <c r="AI33" s="50">
        <f t="shared" si="24"/>
        <v>0</v>
      </c>
      <c r="AJ33" s="51">
        <f t="shared" si="17"/>
        <v>0</v>
      </c>
      <c r="AK33" s="111"/>
    </row>
    <row r="34" spans="1:37" ht="14.25" thickTop="1" thickBot="1" x14ac:dyDescent="0.25">
      <c r="A34" s="42">
        <v>30</v>
      </c>
      <c r="B34" s="59"/>
      <c r="C34" s="52"/>
      <c r="D34" s="61"/>
      <c r="E34" s="61"/>
      <c r="F34" s="61"/>
      <c r="G34" s="61"/>
      <c r="H34" s="61"/>
      <c r="I34" s="56"/>
      <c r="J34" s="57"/>
      <c r="K34" s="63"/>
      <c r="L34" s="56"/>
      <c r="M34" s="63"/>
      <c r="N34" s="56"/>
      <c r="O34" s="63"/>
      <c r="P34" s="56"/>
      <c r="Q34" s="65"/>
      <c r="R34" s="193" t="str">
        <f t="shared" si="1"/>
        <v/>
      </c>
      <c r="S34" s="49">
        <f t="shared" si="19"/>
        <v>0</v>
      </c>
      <c r="T34" s="43">
        <f t="shared" si="3"/>
        <v>0</v>
      </c>
      <c r="U34" s="43">
        <f t="shared" si="4"/>
        <v>0</v>
      </c>
      <c r="V34" s="43">
        <f t="shared" si="5"/>
        <v>0</v>
      </c>
      <c r="W34" s="43">
        <f t="shared" si="6"/>
        <v>0</v>
      </c>
      <c r="X34" s="44">
        <f t="shared" si="20"/>
        <v>0</v>
      </c>
      <c r="Y34" s="44">
        <f t="shared" si="7"/>
        <v>0</v>
      </c>
      <c r="Z34" s="45">
        <f t="shared" si="8"/>
        <v>0</v>
      </c>
      <c r="AA34" s="46">
        <f t="shared" si="21"/>
        <v>1</v>
      </c>
      <c r="AB34" s="47">
        <f t="shared" si="10"/>
        <v>0</v>
      </c>
      <c r="AC34" s="45">
        <f t="shared" si="11"/>
        <v>0</v>
      </c>
      <c r="AD34" s="45">
        <f t="shared" si="22"/>
        <v>1.8</v>
      </c>
      <c r="AE34" s="45">
        <f t="shared" si="13"/>
        <v>0</v>
      </c>
      <c r="AF34" s="48">
        <f t="shared" si="23"/>
        <v>0</v>
      </c>
      <c r="AG34" s="48">
        <f t="shared" si="15"/>
        <v>0</v>
      </c>
      <c r="AH34" s="49">
        <f>IF(C34="",0,IF(C34=Constants!$B$88,8.2,9))</f>
        <v>0</v>
      </c>
      <c r="AI34" s="50">
        <f t="shared" si="24"/>
        <v>0</v>
      </c>
      <c r="AJ34" s="51">
        <f t="shared" si="17"/>
        <v>0</v>
      </c>
      <c r="AK34" s="111"/>
    </row>
    <row r="35" spans="1:37" s="31" customFormat="1" ht="19.5" customHeight="1" thickTop="1" x14ac:dyDescent="0.2">
      <c r="A35" s="112"/>
      <c r="B35" s="112"/>
      <c r="C35" s="112"/>
      <c r="D35" s="113"/>
      <c r="E35" s="113"/>
      <c r="F35" s="113"/>
      <c r="G35" s="113"/>
      <c r="H35" s="113"/>
      <c r="I35" s="113"/>
      <c r="J35" s="114"/>
      <c r="K35" s="114"/>
      <c r="L35" s="113"/>
      <c r="M35" s="114"/>
      <c r="N35" s="113"/>
      <c r="O35" s="113"/>
      <c r="P35" s="113"/>
      <c r="Q35" s="115"/>
      <c r="R35" s="115"/>
      <c r="S35" s="115"/>
      <c r="T35" s="115"/>
      <c r="U35" s="115"/>
      <c r="V35" s="115"/>
      <c r="W35" s="115"/>
      <c r="X35" s="113"/>
      <c r="Y35" s="113"/>
      <c r="Z35" s="113"/>
      <c r="AA35" s="113"/>
      <c r="AB35" s="113"/>
      <c r="AC35" s="113"/>
      <c r="AD35" s="113"/>
      <c r="AE35" s="113"/>
      <c r="AF35" s="113"/>
      <c r="AG35" s="113"/>
      <c r="AH35" s="112"/>
      <c r="AI35" s="112"/>
      <c r="AJ35" s="112"/>
      <c r="AK35" s="112"/>
    </row>
    <row r="36" spans="1:37" ht="21" customHeight="1" x14ac:dyDescent="0.2">
      <c r="A36" s="103"/>
      <c r="B36" s="104" t="str">
        <f>VLOOKUP(ADDRESS(ROW(),COLUMN(),4),MatrixTexteT3,2,FALSE)</f>
        <v>Ergebnisse</v>
      </c>
      <c r="C36" s="103"/>
      <c r="D36" s="103"/>
      <c r="E36" s="103"/>
      <c r="F36" s="180" t="str">
        <f>VLOOKUP(ADDRESS(ROW(),COLUMN(),4),MatrixTexteT3,2,FALSE)</f>
        <v>Resultate aus diesem Blatt</v>
      </c>
      <c r="G36" s="105"/>
      <c r="H36" s="103"/>
      <c r="I36" s="106"/>
      <c r="J36" s="180" t="str">
        <f>VLOOKUP(ADDRESS(ROW(),COLUMN(),4),MatrixTexteT3,2,FALSE)</f>
        <v>Übertrag aus anderen Blättern</v>
      </c>
      <c r="K36" s="105"/>
      <c r="L36" s="105"/>
      <c r="M36" s="107"/>
      <c r="N36" s="180" t="str">
        <f>VLOOKUP(ADDRESS(ROW(),COLUMN(),4),MatrixTexteT3,2,FALSE)</f>
        <v>Gesamtresultat</v>
      </c>
      <c r="O36" s="105"/>
      <c r="P36" s="105"/>
      <c r="Q36" s="105"/>
      <c r="R36" s="107"/>
      <c r="S36" s="30" t="s">
        <v>135</v>
      </c>
      <c r="AK36" s="111"/>
    </row>
    <row r="37" spans="1:37" ht="15" customHeight="1" thickBot="1" x14ac:dyDescent="0.25">
      <c r="A37" s="32"/>
      <c r="B37" s="33" t="str">
        <f>VLOOKUP(ADDRESS(ROW(),COLUMN(),4),MatrixTexteT3,2,FALSE)</f>
        <v>Bezeichnung</v>
      </c>
      <c r="C37" s="32"/>
      <c r="D37" s="32"/>
      <c r="E37" s="32"/>
      <c r="F37" s="251" t="str">
        <f>VLOOKUP(ADDRESS(ROW(),COLUMN(),4),MatrixTexteT3,2,FALSE)</f>
        <v>Gesamtfläche</v>
      </c>
      <c r="G37" s="252"/>
      <c r="H37" s="253" t="str">
        <f>VLOOKUP(ADDRESS(ROW(),COLUMN(),4),MatrixTexteT3,2,FALSE)</f>
        <v>Resultat</v>
      </c>
      <c r="I37" s="254"/>
      <c r="J37" s="251" t="str">
        <f>VLOOKUP(ADDRESS(ROW(),COLUMN(),4),MatrixTexteT3,2,FALSE)</f>
        <v>Gesamtfläche</v>
      </c>
      <c r="K37" s="252"/>
      <c r="L37" s="253" t="str">
        <f>VLOOKUP(ADDRESS(ROW(),COLUMN(),4),MatrixTexteT3,2,FALSE)</f>
        <v>Resultat</v>
      </c>
      <c r="M37" s="254"/>
      <c r="N37" s="255" t="str">
        <f>VLOOKUP(ADDRESS(ROW(),COLUMN(),4),MatrixTexteT3,2,FALSE)</f>
        <v>Gesamtfläche</v>
      </c>
      <c r="O37" s="255"/>
      <c r="P37" s="256" t="str">
        <f>VLOOKUP(ADDRESS(ROW(),COLUMN(),4),MatrixTexteT3,2,FALSE)</f>
        <v>Resultat</v>
      </c>
      <c r="Q37" s="257"/>
      <c r="R37" s="107"/>
      <c r="S37" s="30"/>
      <c r="AK37" s="111"/>
    </row>
    <row r="38" spans="1:37" ht="16.5" customHeight="1" thickTop="1" thickBot="1" x14ac:dyDescent="0.25">
      <c r="A38" s="66"/>
      <c r="B38" s="92" t="str">
        <f>VLOOKUP(ADDRESS(ROW(),COLUMN(),4),MatrixTexteT3,2,FALSE)&amp;TEXT(Mindesterfüllung,"0%")&amp;")"</f>
        <v>Tageslicht-Erfüllungsgrad über alle Räume (Erfüllungsgrad mindestens 50%)</v>
      </c>
      <c r="C38" s="67"/>
      <c r="D38" s="67"/>
      <c r="E38" s="67"/>
      <c r="F38" s="97">
        <f>S38</f>
        <v>0</v>
      </c>
      <c r="G38" s="92" t="s">
        <v>140</v>
      </c>
      <c r="H38" s="187">
        <f>AJ38</f>
        <v>0</v>
      </c>
      <c r="I38" s="99" t="s">
        <v>142</v>
      </c>
      <c r="J38" s="181"/>
      <c r="K38" s="92" t="s">
        <v>140</v>
      </c>
      <c r="L38" s="181"/>
      <c r="M38" s="99" t="s">
        <v>142</v>
      </c>
      <c r="N38" s="101">
        <f>F38+J38</f>
        <v>0</v>
      </c>
      <c r="O38" s="92" t="s">
        <v>140</v>
      </c>
      <c r="P38" s="109">
        <f>IF(F38=0,0,(F38*H38+J38*L38)/N38)</f>
        <v>0</v>
      </c>
      <c r="Q38" s="92" t="s">
        <v>142</v>
      </c>
      <c r="R38" s="99"/>
      <c r="S38" s="34">
        <f>SUMPRODUCT(S5:S34*H5:H34)</f>
        <v>0</v>
      </c>
      <c r="AJ38" s="35">
        <f>IF(S38=0,0,(SUMPRODUCT(S5:S34*H5:H34*AJ5:AJ34)/S38)*100)</f>
        <v>0</v>
      </c>
      <c r="AK38" s="111"/>
    </row>
    <row r="39" spans="1:37" ht="16.5" customHeight="1" thickTop="1" thickBot="1" x14ac:dyDescent="0.25">
      <c r="A39" s="66"/>
      <c r="B39" s="92" t="str">
        <f>VLOOKUP(ADDRESS(ROW(),COLUMN(),4),MatrixTexteT3,2,FALSE)&amp;TEXT(MaxUFläche,"0%")&amp;")"</f>
        <v>Anteil der Raumfläche mit ungenügendem Ergebnis (maximal 20%)</v>
      </c>
      <c r="C39" s="67"/>
      <c r="D39" s="67"/>
      <c r="E39" s="67"/>
      <c r="F39" s="98">
        <f>S39</f>
        <v>0</v>
      </c>
      <c r="G39" s="68" t="s">
        <v>140</v>
      </c>
      <c r="H39" s="188">
        <f>IF(F38=0,0,F39/F38*100)</f>
        <v>0</v>
      </c>
      <c r="I39" s="100" t="s">
        <v>142</v>
      </c>
      <c r="J39" s="182"/>
      <c r="K39" s="68" t="s">
        <v>140</v>
      </c>
      <c r="L39" s="108"/>
      <c r="M39" s="100"/>
      <c r="N39" s="102">
        <f>F39+J39</f>
        <v>0</v>
      </c>
      <c r="O39" s="68" t="s">
        <v>140</v>
      </c>
      <c r="P39" s="110">
        <f>IF(F38=0,0,N39/N38*100)</f>
        <v>0</v>
      </c>
      <c r="Q39" s="68" t="s">
        <v>142</v>
      </c>
      <c r="R39" s="100"/>
      <c r="S39" s="34">
        <f>SUMPRODUCT((AJ5:AJ34&lt;Befriedigend)*S5:S34*H5:H34)</f>
        <v>0</v>
      </c>
      <c r="AK39" s="111"/>
    </row>
    <row r="40" spans="1:37" ht="25.5" customHeight="1" thickTop="1" thickBot="1" x14ac:dyDescent="0.25">
      <c r="A40" s="199"/>
      <c r="B40" s="200" t="str">
        <f>VLOOKUP(ADDRESS(ROW(),COLUMN(),4),MatrixTexteT3,2,FALSE)</f>
        <v>Die Anforderungen von MINERGIE-ECO sind</v>
      </c>
      <c r="C40" s="200"/>
      <c r="D40" s="200"/>
      <c r="E40" s="200"/>
      <c r="F40" s="200"/>
      <c r="G40" s="200"/>
      <c r="H40" s="200"/>
      <c r="I40" s="200"/>
      <c r="J40" s="200"/>
      <c r="K40" s="200"/>
      <c r="L40" s="200"/>
      <c r="M40" s="200"/>
      <c r="N40" s="250" t="str">
        <f>IF(AND((P38/100)&gt;=Gut,(P39/100)&lt;=MaxUFläche),Texte!$B$215,IF(AND((P38/100)&gt;=Mindesterfüllung,(P39/100)&lt;=MaxUFläche),Texte!$B$216,Texte!$B$217))</f>
        <v>nicht erfüllt</v>
      </c>
      <c r="O40" s="250"/>
      <c r="P40" s="250"/>
      <c r="Q40" s="250"/>
      <c r="R40" s="250"/>
      <c r="AK40" s="111"/>
    </row>
    <row r="41" spans="1:37" ht="13.5" thickTop="1" x14ac:dyDescent="0.2">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row>
    <row r="42" spans="1:37" x14ac:dyDescent="0.2">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row>
  </sheetData>
  <sheetProtection selectLockedCells="1"/>
  <mergeCells count="12">
    <mergeCell ref="AH3:AJ3"/>
    <mergeCell ref="N40:R40"/>
    <mergeCell ref="D3:I3"/>
    <mergeCell ref="J3:Q3"/>
    <mergeCell ref="X3:AG3"/>
    <mergeCell ref="F37:G37"/>
    <mergeCell ref="H37:I37"/>
    <mergeCell ref="J37:K37"/>
    <mergeCell ref="L37:M37"/>
    <mergeCell ref="N37:O37"/>
    <mergeCell ref="P37:Q37"/>
    <mergeCell ref="S3:W3"/>
  </mergeCells>
  <phoneticPr fontId="0" type="noConversion"/>
  <conditionalFormatting sqref="R5:R34">
    <cfRule type="expression" dxfId="10" priority="14" stopIfTrue="1">
      <formula>$AJ5=0</formula>
    </cfRule>
    <cfRule type="expression" dxfId="9" priority="15" stopIfTrue="1">
      <formula>$AJ5&lt;Befriedigend</formula>
    </cfRule>
    <cfRule type="expression" dxfId="8" priority="16" stopIfTrue="1">
      <formula>$AJ5&gt;Gut</formula>
    </cfRule>
    <cfRule type="expression" dxfId="7" priority="17" stopIfTrue="1">
      <formula>AND($AJ5&gt;=Befriedigend,$AJ5&lt;Gut)</formula>
    </cfRule>
  </conditionalFormatting>
  <dataValidations xWindow="514" yWindow="461" count="11">
    <dataValidation type="list" allowBlank="1" showInputMessage="1" showErrorMessage="1" errorTitle="Fehler" error="Sie müssen einen Eintrag aus der Liste wählen." promptTitle="Fenstertyp" prompt="Wählen Sie einen der im Blatt 'Fenster' erfassten Fenstertypen." sqref="N32 L32 J32 P32 P33 J5 J6 J7 J8 J9 J10 J11 J12 J13 J14 J15 J16 J17 J18 J19 J20 J21 J22 J23 J24 J25 J26 J27 J28 J29 J30 J31 J33 J34 L5 L6 L7 L8 L9 L10 L11 L12 L13 L14 L15 L16 L17 L18 L19 L20 L21 L22 L23 L24 L25 L26 L27 L28 L29 L30 L31 L33 L34 N5 N6 N7 N8 N9 N10 N11 N12 N13 N14 N15 N16 N17 N18 N19 N20 N21 N22 N23 N24 N25 N26 N27 N28 N29 N30 N31 N33 N34 P5 P6 P7 P8 P9 P10 P11 P12 P13 P14 P15 P16 P17 P18 P19 P20 P21 P22 P23 P24 P25 P26 P27 P28 P29 P30 P31 P34" xr:uid="{00000000-0002-0000-0200-000000000000}">
      <formula1>ListWindow</formula1>
    </dataValidation>
    <dataValidation allowBlank="1" showInputMessage="1" showErrorMessage="1" errorTitle="Fehler" error="Bitte in diesem Feld nur Text erfassen." promptTitle="Typischer Raum" prompt="Geben Sie hier die Raumbezeichnung ein. Räume der Nebennutzung sind nicht zu erfassen." sqref="B32 B33 B5 B6 B7 B8 B9 B10 B11 B12 B13 B14 B15 B16 B17 B18 B19 B20 B21 B22 B23 B24 B25 B26 B27 B28 B29 B30 B31 B34" xr:uid="{00000000-0002-0000-0200-000001000000}"/>
    <dataValidation type="list" allowBlank="1" showInputMessage="1" showErrorMessage="1" errorTitle="Fehler" error="Sie müssen einen Eintrag aus der Liste wählen." promptTitle="Hauptnutzung" prompt="Wählen Sie einen Eintrag aus der Liste, welcher der Raumnutzung am besten entspricht. Räume der Nebennutzung sind nicht zu erfassen." sqref="C32 C33 C5 C6 C7 C8 C9 C10 C11 C12 C13 C14 C15 C16 C17 C18 C19 C20 C21 C22 C23 C24 C25 C26 C27 C28 C29 C30 C31 C34" xr:uid="{00000000-0002-0000-0200-000002000000}">
      <formula1>ListBeleuchtung</formula1>
    </dataValidation>
    <dataValidation type="list" allowBlank="1" showInputMessage="1" showErrorMessage="1" errorTitle="Fehler" error="Sie müssen einen Eintrag aus der Liste wählen." promptTitle="Raumreflexion" prompt="Wählen Sie einen Eintrag aus der Liste. " sqref="I32 I33 I5 I6 I7 I8 I9 I10 I11 I12 I13 I14 I15 I16 I17 I18 I19 I20 I21 I22 I23 I24 I25 I26 I27 I28 I29 I30 I31 I34" xr:uid="{00000000-0002-0000-0200-000003000000}">
      <formula1>ListRaumReflex</formula1>
    </dataValidation>
    <dataValidation allowBlank="1" showInputMessage="1" sqref="R5:R34" xr:uid="{00000000-0002-0000-0200-000004000000}"/>
    <dataValidation type="whole" allowBlank="1" showInputMessage="1" showErrorMessage="1" errorTitle="Fehler" error="Sie müssen ganzzahlige Werte zwischen 0 und 999 eingeben." promptTitle="Anzahl" prompt="Geben Sie die Gesamtanzahl dieses Fenstertyps ein." sqref="O32 M32 K32 Q32 Q33 K5 K6 K7 K8 K9 K10 K11 K12 K13 K14 K15 K16 K17 K18 K19 K20 K21 K22 K23 K24 K25 K26 K27 K28 K29 K30 K31 K33 K34 M5 M6 M7 M8 M9 M10 M11 M12 M13 M14 M15 M16 M17 M18 M19 M20 M21 M22 M23 M24 M25 M26 M27 M28 M29 M30 M31 M33 M34 O5 O6 O7 O8 O9 O10 O11 O12 O13 O14 O15 O16 O17 O18 O19 O20 O21 O22 O23 O24 O25 O26 O27 O28 O29 O30 O31 O33 O34 Q5 Q6 Q7 Q8 Q9 Q10 Q11 Q12 Q13 Q14 Q15 Q16 Q17 Q18 Q19 Q20 Q21 Q22 Q23 Q24 Q25 Q26 Q27 Q28 Q29 Q30 Q31 Q34" xr:uid="{00000000-0002-0000-0200-000005000000}">
      <formula1>0</formula1>
      <formula2>999</formula2>
    </dataValidation>
    <dataValidation type="decimal" allowBlank="1" showInputMessage="1" showErrorMessage="1" errorTitle="Fehler" error="Sie müssen Werte zwischen -99 und 999 eingeben." promptTitle="Anzahl" prompt="Geben Sie die Gesamtanzahl dieses Raumtyps im Gebäude ein." sqref="H32 H33 H5 H6 H7 H8 H9 H10 H11 H12 H13 H14 H15 H16 H17 H18 H19 H20 H21 H22 H23 H24 H25 H26 H27 H28 H29 H30 H31 H34" xr:uid="{00000000-0002-0000-0200-000006000000}">
      <formula1>-99</formula1>
      <formula2>999</formula2>
    </dataValidation>
    <dataValidation type="decimal" allowBlank="1" showInputMessage="1" showErrorMessage="1" errorTitle="Fehler" error="Sie müssen Werte zwischen 0 und 9999 eingeben." promptTitle="Fläche" prompt="Falls die Fläche nicht der Multiplikation von Länge und Breite entspricht, geben Sie diese hier ein, ansonsten leer lassen." sqref="G32 G33 G5 G6 G7 G8 G9 G10 G11 G12 G13 G14 G15 G16 G17 G18 G19 G20 G21 G22 G23 G24 G25 G26 G27 G28 G29 G30 G31 G34" xr:uid="{00000000-0002-0000-0200-000007000000}">
      <formula1>0</formula1>
      <formula2>99999</formula2>
    </dataValidation>
    <dataValidation type="decimal" allowBlank="1" showInputMessage="1" showErrorMessage="1" errorTitle="Fehler" error="Sie müssen Werte zwischen 0 und 99 eingeben." promptTitle="Höhe" prompt="Geben Sie die lichte Raumhöhe ein. Falls der Raum verschiedene Raumhöhen aufweist, mitteln Sie die Höhe oder erfassen Sie die Bereiche separat." sqref="F32 F33 F5 F6 F7 F8 F9 F10 F11 F12 F13 F14 F15 F16 F17 F18 F19 F20 F21 F22 F23 F24 F25 F26 F27 F28 F29 F30 F31 F34" xr:uid="{00000000-0002-0000-0200-000008000000}">
      <formula1>0</formula1>
      <formula2>99</formula2>
    </dataValidation>
    <dataValidation type="decimal" allowBlank="1" showInputMessage="1" showErrorMessage="1" errorTitle="Fehler" error="Sie müssen Werte zwischen 0 und 999 eingeben." promptTitle="Tiefe" prompt="Geben Sie die Raumabmessungen ein." sqref="E32 E33 E5 E6 E7 E8 E9 E10 E11 E12 E13 E14 E15 E16 E17 E18 E19 E20 E21 E22 E23 E24 E25 E26 E27 E28 E29 E30 E31 E34" xr:uid="{00000000-0002-0000-0200-000009000000}">
      <formula1>0</formula1>
      <formula2>999</formula2>
    </dataValidation>
    <dataValidation type="decimal" allowBlank="1" showInputMessage="1" showErrorMessage="1" errorTitle="Fehler" error="Sie müssen Werte zwischen 0 und 999 eingeben." promptTitle="Länge" prompt="Geben Sie die Raumabmessungen ein." sqref="D32 D33 D5 D6 D7 D8 D9 D10 D11 D12 D13 D14 D15 D16 D17 D18 D19 D20 D21 D22 D23 D24 D25 D26 D27 D28 D29 D30 D31 D34" xr:uid="{00000000-0002-0000-0200-00000A000000}">
      <formula1>0</formula1>
      <formula2>999</formula2>
    </dataValidation>
  </dataValidations>
  <hyperlinks>
    <hyperlink ref="G1:I2" location="'Nachweis Tageslicht'!A1" display="Zum Nachweis" xr:uid="{00000000-0004-0000-0200-000000000000}"/>
    <hyperlink ref="D1:F2" location="Überblick!A1" display="Zum Überblick" xr:uid="{00000000-0004-0000-0200-000001000000}"/>
  </hyperlinks>
  <printOptions horizontalCentered="1"/>
  <pageMargins left="0.55118110236220474" right="0.55118110236220474" top="0.43307086614173229" bottom="0" header="0.51181102362204722" footer="0.27559055118110237"/>
  <pageSetup paperSize="9" scale="75" orientation="landscape" horizontalDpi="4294967292" r:id="rId1"/>
  <headerFooter alignWithMargins="0">
    <oddHeader>&amp;R&amp;G</oddHeader>
    <oddFooter>&amp;L&amp;10&amp;F&amp;R&amp;10&amp;P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T56"/>
  <sheetViews>
    <sheetView showGridLines="0" workbookViewId="0">
      <selection activeCell="E7" sqref="E7:F7"/>
    </sheetView>
  </sheetViews>
  <sheetFormatPr baseColWidth="10" defaultColWidth="11.5546875" defaultRowHeight="15" x14ac:dyDescent="0.2"/>
  <cols>
    <col min="1" max="1" width="2.77734375" customWidth="1"/>
    <col min="2" max="2" width="46.33203125" customWidth="1"/>
    <col min="3" max="6" width="12.77734375" customWidth="1"/>
    <col min="7" max="7" width="11.5546875" customWidth="1"/>
    <col min="8" max="8" width="10.109375" customWidth="1"/>
    <col min="9" max="13" width="11.5546875" hidden="1" customWidth="1"/>
  </cols>
  <sheetData>
    <row r="1" spans="1:20" ht="28.5" customHeight="1" x14ac:dyDescent="0.2">
      <c r="A1" s="224" t="str">
        <f>IF(Projektbez="","",Projektbez&amp;" - ")&amp;Texte!$B$97</f>
        <v>Typische Räume und Ausblick</v>
      </c>
      <c r="B1" s="225"/>
      <c r="C1" s="226"/>
      <c r="D1" s="226"/>
      <c r="E1" s="226"/>
      <c r="F1" s="226"/>
      <c r="G1" s="226"/>
      <c r="H1" s="226"/>
      <c r="I1" s="226"/>
      <c r="J1" s="226"/>
      <c r="K1" s="226"/>
      <c r="L1" s="226"/>
      <c r="M1" s="226"/>
      <c r="T1" s="226"/>
    </row>
    <row r="2" spans="1:20" ht="9" customHeight="1" x14ac:dyDescent="0.2">
      <c r="A2" s="111"/>
      <c r="B2" s="111"/>
      <c r="C2" s="226"/>
      <c r="D2" s="226"/>
      <c r="E2" s="226"/>
      <c r="F2" s="226"/>
      <c r="G2" s="226"/>
      <c r="H2" s="226"/>
      <c r="I2" s="226"/>
      <c r="J2" s="226"/>
      <c r="K2" s="226"/>
      <c r="L2" s="226"/>
      <c r="M2" s="226"/>
      <c r="N2" s="226"/>
      <c r="O2" s="226"/>
      <c r="P2" s="226"/>
      <c r="Q2" s="226"/>
      <c r="R2" s="226"/>
      <c r="S2" s="226"/>
      <c r="T2" s="226"/>
    </row>
    <row r="3" spans="1:20" ht="18.75" customHeight="1" x14ac:dyDescent="0.2">
      <c r="A3" s="40"/>
      <c r="B3" s="203" t="str">
        <f>VLOOKUP(ADDRESS(ROW(),COLUMN(),4),MatrixTexteT5,2,FALSE)</f>
        <v>Typische Räume</v>
      </c>
      <c r="C3" s="247" t="str">
        <f>VLOOKUP(ADDRESS(ROW(),COLUMN(),4),MatrixTexteT5,2,FALSE)</f>
        <v>Raumdaten</v>
      </c>
      <c r="D3" s="248"/>
      <c r="E3" s="248"/>
      <c r="F3" s="248"/>
      <c r="G3" s="247" t="str">
        <f>Tageslicht!R3</f>
        <v>Res.</v>
      </c>
      <c r="H3" s="248"/>
      <c r="I3" s="266" t="s">
        <v>125</v>
      </c>
      <c r="J3" s="267"/>
      <c r="K3" s="267"/>
      <c r="L3" s="267"/>
      <c r="M3" s="267"/>
      <c r="N3" s="226"/>
      <c r="O3" s="226"/>
      <c r="P3" s="226"/>
      <c r="Q3" s="226"/>
      <c r="R3" s="226"/>
      <c r="S3" s="226"/>
      <c r="T3" s="226"/>
    </row>
    <row r="4" spans="1:20" ht="46.5" customHeight="1" thickBot="1" x14ac:dyDescent="0.25">
      <c r="A4" s="96" t="s">
        <v>742</v>
      </c>
      <c r="B4" s="95" t="str">
        <f>VLOOKUP(ADDRESS(ROW(),COLUMN(),4),MatrixTexteT5,2,FALSE)</f>
        <v>Raumbezeichnung
-</v>
      </c>
      <c r="C4" s="41" t="str">
        <f>VLOOKUP(ADDRESS(ROW(),COLUMN(),4),MatrixTexteT5,2,FALSE)</f>
        <v>Tiefe genutzter Bereich 
m</v>
      </c>
      <c r="D4" s="41" t="str">
        <f>VLOOKUP(ADDRESS(ROW(),COLUMN(),4),MatrixTexteT5,2,FALSE)</f>
        <v>Sichtweite
m</v>
      </c>
      <c r="E4" s="262" t="str">
        <f>VLOOKUP(ADDRESS(ROW(),COLUMN(),4),MatrixTexteT5,2,FALSE)</f>
        <v>Sichtebenen
-</v>
      </c>
      <c r="F4" s="263"/>
      <c r="G4" s="41" t="str">
        <f>VLOOKUP(ADDRESS(ROW(),COLUMN(),4),MatrixTexteT5,2,FALSE)</f>
        <v>Resultat
-</v>
      </c>
      <c r="H4" s="41" t="str">
        <f>VLOOKUP(ADDRESS(ROW(),COLUMN(),4),MatrixTexteT5,2,FALSE)</f>
        <v>Resultat
Pt.</v>
      </c>
      <c r="I4" s="205" t="s">
        <v>907</v>
      </c>
      <c r="J4" s="205" t="s">
        <v>904</v>
      </c>
      <c r="K4" s="205" t="s">
        <v>956</v>
      </c>
      <c r="L4" s="41" t="s">
        <v>906</v>
      </c>
      <c r="M4" s="41" t="s">
        <v>903</v>
      </c>
      <c r="N4" s="226"/>
      <c r="O4" s="226"/>
      <c r="P4" s="226"/>
      <c r="Q4" s="226"/>
      <c r="R4" s="226"/>
      <c r="S4" s="226"/>
      <c r="T4" s="226"/>
    </row>
    <row r="5" spans="1:20" ht="16.5" thickTop="1" thickBot="1" x14ac:dyDescent="0.25">
      <c r="A5" s="42">
        <v>1</v>
      </c>
      <c r="B5" s="221" t="str">
        <f>IF(Tageslicht!B5="","",Tageslicht!B5)</f>
        <v/>
      </c>
      <c r="C5" s="206"/>
      <c r="D5" s="206"/>
      <c r="E5" s="258"/>
      <c r="F5" s="259"/>
      <c r="G5" s="43" t="str">
        <f>M5</f>
        <v/>
      </c>
      <c r="H5" s="220" t="str">
        <f>L5</f>
        <v/>
      </c>
      <c r="I5" s="43">
        <f>Tageslicht!W5</f>
        <v>0</v>
      </c>
      <c r="J5" s="43" t="str">
        <f t="shared" ref="J5:J34" si="0">IFERROR(DEGREES(ATAN(I5/C5)),"")</f>
        <v/>
      </c>
      <c r="K5" s="43">
        <f>Tageslicht!S5*Tageslicht!H5</f>
        <v>0</v>
      </c>
      <c r="L5" s="43" t="str">
        <f t="shared" ref="L5:L34" si="1">IFERROR(IF(AND(VLOOKUP(E5,MatrixAussicht,2,FALSE)=3,J5&gt;=54,D5&gt;=50),3,IF(AND(VLOOKUP(E5,MatrixAussicht,2,FALSE)&gt;=2,J5&gt;=28,D5&gt;=20),2,IF(AND(VLOOKUP(E5,MatrixAussicht,2,FALSE)&gt;=1,J5&gt;=14,D5&gt;=6),1,0))),"")</f>
        <v/>
      </c>
      <c r="M5" s="43" t="str">
        <f>IF(L5="","",IF(L5=3,Texte!$B$210,IF(L5=2,Texte!$B$211,IF(L5=1,Texte!$B$212,Texte!$B$213))))</f>
        <v/>
      </c>
      <c r="N5" s="226"/>
      <c r="O5" s="226"/>
      <c r="P5" s="226"/>
      <c r="Q5" s="226"/>
      <c r="R5" s="226"/>
      <c r="S5" s="226"/>
      <c r="T5" s="226"/>
    </row>
    <row r="6" spans="1:20" ht="16.5" thickTop="1" thickBot="1" x14ac:dyDescent="0.25">
      <c r="A6" s="42">
        <v>2</v>
      </c>
      <c r="B6" s="221" t="str">
        <f>IF(Tageslicht!B6="","",Tageslicht!B6)</f>
        <v/>
      </c>
      <c r="C6" s="206"/>
      <c r="D6" s="206"/>
      <c r="E6" s="258"/>
      <c r="F6" s="259"/>
      <c r="G6" s="43" t="str">
        <f t="shared" ref="G6:G34" si="2">M6</f>
        <v/>
      </c>
      <c r="H6" s="220" t="str">
        <f t="shared" ref="H6:H34" si="3">L6</f>
        <v/>
      </c>
      <c r="I6" s="43">
        <f>Tageslicht!W6</f>
        <v>0</v>
      </c>
      <c r="J6" s="43" t="str">
        <f t="shared" si="0"/>
        <v/>
      </c>
      <c r="K6" s="43">
        <f>Tageslicht!S6*Tageslicht!H6</f>
        <v>0</v>
      </c>
      <c r="L6" s="43" t="str">
        <f t="shared" si="1"/>
        <v/>
      </c>
      <c r="M6" s="43" t="str">
        <f>IF(L6="","",IF(L6=3,Texte!$B$210,IF(L6=2,Texte!$B$211,IF(L6=1,Texte!$B$212,Texte!$B$213))))</f>
        <v/>
      </c>
      <c r="N6" s="226"/>
      <c r="O6" s="226"/>
      <c r="P6" s="226"/>
      <c r="Q6" s="226"/>
      <c r="R6" s="226"/>
      <c r="S6" s="226"/>
      <c r="T6" s="226"/>
    </row>
    <row r="7" spans="1:20" ht="16.5" thickTop="1" thickBot="1" x14ac:dyDescent="0.25">
      <c r="A7" s="42">
        <v>3</v>
      </c>
      <c r="B7" s="221" t="str">
        <f>IF(Tageslicht!B7="","",Tageslicht!B7)</f>
        <v/>
      </c>
      <c r="C7" s="206"/>
      <c r="D7" s="206"/>
      <c r="E7" s="258"/>
      <c r="F7" s="259"/>
      <c r="G7" s="43" t="str">
        <f t="shared" si="2"/>
        <v/>
      </c>
      <c r="H7" s="220" t="str">
        <f t="shared" si="3"/>
        <v/>
      </c>
      <c r="I7" s="43">
        <f>Tageslicht!W7</f>
        <v>0</v>
      </c>
      <c r="J7" s="43" t="str">
        <f t="shared" si="0"/>
        <v/>
      </c>
      <c r="K7" s="43">
        <f>Tageslicht!S7*Tageslicht!H7</f>
        <v>0</v>
      </c>
      <c r="L7" s="43" t="str">
        <f t="shared" si="1"/>
        <v/>
      </c>
      <c r="M7" s="43" t="str">
        <f>IF(L7="","",IF(L7=3,Texte!$B$210,IF(L7=2,Texte!$B$211,IF(L7=1,Texte!$B$212,Texte!$B$213))))</f>
        <v/>
      </c>
      <c r="N7" s="226"/>
      <c r="O7" s="226"/>
      <c r="P7" s="226"/>
      <c r="Q7" s="226"/>
      <c r="R7" s="226"/>
      <c r="S7" s="226"/>
      <c r="T7" s="226"/>
    </row>
    <row r="8" spans="1:20" ht="16.5" thickTop="1" thickBot="1" x14ac:dyDescent="0.25">
      <c r="A8" s="42">
        <v>4</v>
      </c>
      <c r="B8" s="221" t="str">
        <f>IF(Tageslicht!B8="","",Tageslicht!B8)</f>
        <v/>
      </c>
      <c r="C8" s="206"/>
      <c r="D8" s="206"/>
      <c r="E8" s="258"/>
      <c r="F8" s="259"/>
      <c r="G8" s="43" t="str">
        <f t="shared" si="2"/>
        <v/>
      </c>
      <c r="H8" s="220" t="str">
        <f t="shared" si="3"/>
        <v/>
      </c>
      <c r="I8" s="43">
        <f>Tageslicht!W8</f>
        <v>0</v>
      </c>
      <c r="J8" s="43" t="str">
        <f t="shared" si="0"/>
        <v/>
      </c>
      <c r="K8" s="43">
        <f>Tageslicht!S8*Tageslicht!H8</f>
        <v>0</v>
      </c>
      <c r="L8" s="43" t="str">
        <f t="shared" si="1"/>
        <v/>
      </c>
      <c r="M8" s="43" t="str">
        <f>IF(L8="","",IF(L8=3,Texte!$B$210,IF(L8=2,Texte!$B$211,IF(L8=1,Texte!$B$212,Texte!$B$213))))</f>
        <v/>
      </c>
      <c r="N8" s="226"/>
      <c r="O8" s="226"/>
      <c r="P8" s="226"/>
      <c r="Q8" s="226"/>
      <c r="R8" s="226"/>
      <c r="S8" s="226"/>
      <c r="T8" s="226"/>
    </row>
    <row r="9" spans="1:20" ht="16.5" thickTop="1" thickBot="1" x14ac:dyDescent="0.25">
      <c r="A9" s="42">
        <v>5</v>
      </c>
      <c r="B9" s="221" t="str">
        <f>IF(Tageslicht!B9="","",Tageslicht!B9)</f>
        <v/>
      </c>
      <c r="C9" s="206"/>
      <c r="D9" s="206"/>
      <c r="E9" s="258"/>
      <c r="F9" s="259"/>
      <c r="G9" s="43" t="str">
        <f t="shared" si="2"/>
        <v/>
      </c>
      <c r="H9" s="220" t="str">
        <f t="shared" si="3"/>
        <v/>
      </c>
      <c r="I9" s="43">
        <f>Tageslicht!W9</f>
        <v>0</v>
      </c>
      <c r="J9" s="43" t="str">
        <f t="shared" si="0"/>
        <v/>
      </c>
      <c r="K9" s="43">
        <f>Tageslicht!S9*Tageslicht!H9</f>
        <v>0</v>
      </c>
      <c r="L9" s="43" t="str">
        <f t="shared" si="1"/>
        <v/>
      </c>
      <c r="M9" s="43" t="str">
        <f>IF(L9="","",IF(L9=3,Texte!$B$210,IF(L9=2,Texte!$B$211,IF(L9=1,Texte!$B$212,Texte!$B$213))))</f>
        <v/>
      </c>
      <c r="N9" s="226"/>
      <c r="O9" s="226"/>
      <c r="P9" s="226"/>
      <c r="Q9" s="226"/>
      <c r="R9" s="226"/>
      <c r="S9" s="226"/>
      <c r="T9" s="226"/>
    </row>
    <row r="10" spans="1:20" ht="16.5" thickTop="1" thickBot="1" x14ac:dyDescent="0.25">
      <c r="A10" s="42">
        <v>6</v>
      </c>
      <c r="B10" s="221" t="str">
        <f>IF(Tageslicht!B10="","",Tageslicht!B10)</f>
        <v/>
      </c>
      <c r="C10" s="206"/>
      <c r="D10" s="206"/>
      <c r="E10" s="258"/>
      <c r="F10" s="259"/>
      <c r="G10" s="43" t="str">
        <f t="shared" si="2"/>
        <v/>
      </c>
      <c r="H10" s="220" t="str">
        <f t="shared" si="3"/>
        <v/>
      </c>
      <c r="I10" s="43">
        <f>Tageslicht!W10</f>
        <v>0</v>
      </c>
      <c r="J10" s="43" t="str">
        <f t="shared" si="0"/>
        <v/>
      </c>
      <c r="K10" s="43">
        <f>Tageslicht!S10*Tageslicht!H10</f>
        <v>0</v>
      </c>
      <c r="L10" s="43" t="str">
        <f t="shared" si="1"/>
        <v/>
      </c>
      <c r="M10" s="43" t="str">
        <f>IF(L10="","",IF(L10=3,Texte!$B$210,IF(L10=2,Texte!$B$211,IF(L10=1,Texte!$B$212,Texte!$B$213))))</f>
        <v/>
      </c>
      <c r="N10" s="226"/>
      <c r="O10" s="226"/>
      <c r="P10" s="226"/>
      <c r="Q10" s="226"/>
      <c r="R10" s="226"/>
      <c r="S10" s="226"/>
      <c r="T10" s="226"/>
    </row>
    <row r="11" spans="1:20" ht="16.5" thickTop="1" thickBot="1" x14ac:dyDescent="0.25">
      <c r="A11" s="42">
        <v>7</v>
      </c>
      <c r="B11" s="221" t="str">
        <f>IF(Tageslicht!B11="","",Tageslicht!B11)</f>
        <v/>
      </c>
      <c r="C11" s="206"/>
      <c r="D11" s="206"/>
      <c r="E11" s="258"/>
      <c r="F11" s="259"/>
      <c r="G11" s="43" t="str">
        <f t="shared" si="2"/>
        <v/>
      </c>
      <c r="H11" s="220" t="str">
        <f t="shared" si="3"/>
        <v/>
      </c>
      <c r="I11" s="43">
        <f>Tageslicht!W11</f>
        <v>0</v>
      </c>
      <c r="J11" s="43" t="str">
        <f t="shared" si="0"/>
        <v/>
      </c>
      <c r="K11" s="43">
        <f>Tageslicht!S11*Tageslicht!H11</f>
        <v>0</v>
      </c>
      <c r="L11" s="43" t="str">
        <f t="shared" si="1"/>
        <v/>
      </c>
      <c r="M11" s="43" t="str">
        <f>IF(L11="","",IF(L11=3,Texte!$B$210,IF(L11=2,Texte!$B$211,IF(L11=1,Texte!$B$212,Texte!$B$213))))</f>
        <v/>
      </c>
      <c r="N11" s="226"/>
      <c r="O11" s="226"/>
      <c r="P11" s="226"/>
      <c r="Q11" s="226"/>
      <c r="R11" s="226"/>
      <c r="S11" s="226"/>
      <c r="T11" s="226"/>
    </row>
    <row r="12" spans="1:20" ht="16.5" thickTop="1" thickBot="1" x14ac:dyDescent="0.25">
      <c r="A12" s="42">
        <v>8</v>
      </c>
      <c r="B12" s="221" t="str">
        <f>IF(Tageslicht!B12="","",Tageslicht!B12)</f>
        <v/>
      </c>
      <c r="C12" s="206"/>
      <c r="D12" s="206"/>
      <c r="E12" s="258"/>
      <c r="F12" s="259"/>
      <c r="G12" s="43" t="str">
        <f t="shared" si="2"/>
        <v/>
      </c>
      <c r="H12" s="220" t="str">
        <f t="shared" si="3"/>
        <v/>
      </c>
      <c r="I12" s="43">
        <f>Tageslicht!W12</f>
        <v>0</v>
      </c>
      <c r="J12" s="43" t="str">
        <f t="shared" si="0"/>
        <v/>
      </c>
      <c r="K12" s="43">
        <f>Tageslicht!S12*Tageslicht!H12</f>
        <v>0</v>
      </c>
      <c r="L12" s="43" t="str">
        <f t="shared" si="1"/>
        <v/>
      </c>
      <c r="M12" s="43" t="str">
        <f>IF(L12="","",IF(L12=3,Texte!$B$210,IF(L12=2,Texte!$B$211,IF(L12=1,Texte!$B$212,Texte!$B$213))))</f>
        <v/>
      </c>
      <c r="N12" s="226"/>
      <c r="O12" s="226"/>
      <c r="P12" s="226"/>
      <c r="Q12" s="226"/>
      <c r="R12" s="226"/>
      <c r="S12" s="226"/>
      <c r="T12" s="226"/>
    </row>
    <row r="13" spans="1:20" ht="16.5" thickTop="1" thickBot="1" x14ac:dyDescent="0.25">
      <c r="A13" s="42">
        <v>9</v>
      </c>
      <c r="B13" s="221" t="str">
        <f>IF(Tageslicht!B13="","",Tageslicht!B13)</f>
        <v/>
      </c>
      <c r="C13" s="206"/>
      <c r="D13" s="206"/>
      <c r="E13" s="258"/>
      <c r="F13" s="259"/>
      <c r="G13" s="43" t="str">
        <f t="shared" si="2"/>
        <v/>
      </c>
      <c r="H13" s="220" t="str">
        <f t="shared" si="3"/>
        <v/>
      </c>
      <c r="I13" s="43">
        <f>Tageslicht!W13</f>
        <v>0</v>
      </c>
      <c r="J13" s="43" t="str">
        <f t="shared" si="0"/>
        <v/>
      </c>
      <c r="K13" s="43">
        <f>Tageslicht!S13*Tageslicht!H13</f>
        <v>0</v>
      </c>
      <c r="L13" s="43" t="str">
        <f t="shared" si="1"/>
        <v/>
      </c>
      <c r="M13" s="43" t="str">
        <f>IF(L13="","",IF(L13=3,Texte!$B$210,IF(L13=2,Texte!$B$211,IF(L13=1,Texte!$B$212,Texte!$B$213))))</f>
        <v/>
      </c>
      <c r="N13" s="226"/>
      <c r="O13" s="226"/>
      <c r="P13" s="226"/>
      <c r="Q13" s="226"/>
      <c r="R13" s="226"/>
      <c r="S13" s="226"/>
      <c r="T13" s="226"/>
    </row>
    <row r="14" spans="1:20" ht="16.5" thickTop="1" thickBot="1" x14ac:dyDescent="0.25">
      <c r="A14" s="42">
        <v>10</v>
      </c>
      <c r="B14" s="221" t="str">
        <f>IF(Tageslicht!B14="","",Tageslicht!B14)</f>
        <v/>
      </c>
      <c r="C14" s="206"/>
      <c r="D14" s="206"/>
      <c r="E14" s="258"/>
      <c r="F14" s="259"/>
      <c r="G14" s="43" t="str">
        <f t="shared" si="2"/>
        <v/>
      </c>
      <c r="H14" s="220" t="str">
        <f t="shared" si="3"/>
        <v/>
      </c>
      <c r="I14" s="43">
        <f>Tageslicht!W14</f>
        <v>0</v>
      </c>
      <c r="J14" s="43" t="str">
        <f t="shared" si="0"/>
        <v/>
      </c>
      <c r="K14" s="43">
        <f>Tageslicht!S14*Tageslicht!H14</f>
        <v>0</v>
      </c>
      <c r="L14" s="43" t="str">
        <f t="shared" si="1"/>
        <v/>
      </c>
      <c r="M14" s="43" t="str">
        <f>IF(L14="","",IF(L14=3,Texte!$B$210,IF(L14=2,Texte!$B$211,IF(L14=1,Texte!$B$212,Texte!$B$213))))</f>
        <v/>
      </c>
      <c r="N14" s="226"/>
      <c r="O14" s="226"/>
      <c r="P14" s="226"/>
      <c r="Q14" s="226"/>
      <c r="R14" s="226"/>
      <c r="S14" s="226"/>
      <c r="T14" s="226"/>
    </row>
    <row r="15" spans="1:20" ht="16.5" thickTop="1" thickBot="1" x14ac:dyDescent="0.25">
      <c r="A15" s="42">
        <v>11</v>
      </c>
      <c r="B15" s="221" t="str">
        <f>IF(Tageslicht!B15="","",Tageslicht!B15)</f>
        <v/>
      </c>
      <c r="C15" s="206"/>
      <c r="D15" s="206"/>
      <c r="E15" s="258"/>
      <c r="F15" s="259"/>
      <c r="G15" s="43" t="str">
        <f t="shared" si="2"/>
        <v/>
      </c>
      <c r="H15" s="220" t="str">
        <f t="shared" si="3"/>
        <v/>
      </c>
      <c r="I15" s="43">
        <f>Tageslicht!W15</f>
        <v>0</v>
      </c>
      <c r="J15" s="43" t="str">
        <f t="shared" si="0"/>
        <v/>
      </c>
      <c r="K15" s="43">
        <f>Tageslicht!S15*Tageslicht!H15</f>
        <v>0</v>
      </c>
      <c r="L15" s="43" t="str">
        <f t="shared" si="1"/>
        <v/>
      </c>
      <c r="M15" s="43" t="str">
        <f>IF(L15="","",IF(L15=3,Texte!$B$210,IF(L15=2,Texte!$B$211,IF(L15=1,Texte!$B$212,Texte!$B$213))))</f>
        <v/>
      </c>
      <c r="N15" s="226"/>
      <c r="O15" s="226"/>
      <c r="P15" s="226"/>
      <c r="Q15" s="226"/>
      <c r="R15" s="226"/>
      <c r="S15" s="226"/>
      <c r="T15" s="226"/>
    </row>
    <row r="16" spans="1:20" ht="16.5" thickTop="1" thickBot="1" x14ac:dyDescent="0.25">
      <c r="A16" s="42">
        <v>12</v>
      </c>
      <c r="B16" s="221" t="str">
        <f>IF(Tageslicht!B16="","",Tageslicht!B16)</f>
        <v/>
      </c>
      <c r="C16" s="206"/>
      <c r="D16" s="206"/>
      <c r="E16" s="258"/>
      <c r="F16" s="259"/>
      <c r="G16" s="43" t="str">
        <f t="shared" si="2"/>
        <v/>
      </c>
      <c r="H16" s="220" t="str">
        <f t="shared" si="3"/>
        <v/>
      </c>
      <c r="I16" s="43">
        <f>Tageslicht!W16</f>
        <v>0</v>
      </c>
      <c r="J16" s="43" t="str">
        <f t="shared" si="0"/>
        <v/>
      </c>
      <c r="K16" s="43">
        <f>Tageslicht!S16*Tageslicht!H16</f>
        <v>0</v>
      </c>
      <c r="L16" s="43" t="str">
        <f t="shared" si="1"/>
        <v/>
      </c>
      <c r="M16" s="43" t="str">
        <f>IF(L16="","",IF(L16=3,Texte!$B$210,IF(L16=2,Texte!$B$211,IF(L16=1,Texte!$B$212,Texte!$B$213))))</f>
        <v/>
      </c>
      <c r="N16" s="226"/>
      <c r="O16" s="226"/>
      <c r="P16" s="226"/>
      <c r="Q16" s="226"/>
      <c r="R16" s="226"/>
      <c r="S16" s="226"/>
      <c r="T16" s="226"/>
    </row>
    <row r="17" spans="1:20" ht="16.5" thickTop="1" thickBot="1" x14ac:dyDescent="0.25">
      <c r="A17" s="42">
        <v>13</v>
      </c>
      <c r="B17" s="221" t="str">
        <f>IF(Tageslicht!B17="","",Tageslicht!B17)</f>
        <v/>
      </c>
      <c r="C17" s="206"/>
      <c r="D17" s="206"/>
      <c r="E17" s="258"/>
      <c r="F17" s="259"/>
      <c r="G17" s="43" t="str">
        <f t="shared" si="2"/>
        <v/>
      </c>
      <c r="H17" s="220" t="str">
        <f t="shared" si="3"/>
        <v/>
      </c>
      <c r="I17" s="43">
        <f>Tageslicht!W17</f>
        <v>0</v>
      </c>
      <c r="J17" s="43" t="str">
        <f t="shared" si="0"/>
        <v/>
      </c>
      <c r="K17" s="43">
        <f>Tageslicht!S17*Tageslicht!H17</f>
        <v>0</v>
      </c>
      <c r="L17" s="43" t="str">
        <f t="shared" si="1"/>
        <v/>
      </c>
      <c r="M17" s="43" t="str">
        <f>IF(L17="","",IF(L17=3,Texte!$B$210,IF(L17=2,Texte!$B$211,IF(L17=1,Texte!$B$212,Texte!$B$213))))</f>
        <v/>
      </c>
      <c r="N17" s="226"/>
      <c r="O17" s="226"/>
      <c r="P17" s="226"/>
      <c r="Q17" s="226"/>
      <c r="R17" s="226"/>
      <c r="S17" s="226"/>
      <c r="T17" s="226"/>
    </row>
    <row r="18" spans="1:20" ht="16.5" thickTop="1" thickBot="1" x14ac:dyDescent="0.25">
      <c r="A18" s="42">
        <v>14</v>
      </c>
      <c r="B18" s="221" t="str">
        <f>IF(Tageslicht!B18="","",Tageslicht!B18)</f>
        <v/>
      </c>
      <c r="C18" s="206"/>
      <c r="D18" s="206"/>
      <c r="E18" s="258"/>
      <c r="F18" s="259"/>
      <c r="G18" s="43" t="str">
        <f t="shared" si="2"/>
        <v/>
      </c>
      <c r="H18" s="220" t="str">
        <f t="shared" si="3"/>
        <v/>
      </c>
      <c r="I18" s="43">
        <f>Tageslicht!W18</f>
        <v>0</v>
      </c>
      <c r="J18" s="43" t="str">
        <f t="shared" si="0"/>
        <v/>
      </c>
      <c r="K18" s="43">
        <f>Tageslicht!S18*Tageslicht!H18</f>
        <v>0</v>
      </c>
      <c r="L18" s="43" t="str">
        <f t="shared" si="1"/>
        <v/>
      </c>
      <c r="M18" s="43" t="str">
        <f>IF(L18="","",IF(L18=3,Texte!$B$210,IF(L18=2,Texte!$B$211,IF(L18=1,Texte!$B$212,Texte!$B$213))))</f>
        <v/>
      </c>
      <c r="N18" s="226"/>
      <c r="O18" s="226"/>
      <c r="P18" s="226"/>
      <c r="Q18" s="226"/>
      <c r="R18" s="226"/>
      <c r="S18" s="226"/>
      <c r="T18" s="226"/>
    </row>
    <row r="19" spans="1:20" ht="16.5" thickTop="1" thickBot="1" x14ac:dyDescent="0.25">
      <c r="A19" s="42">
        <v>15</v>
      </c>
      <c r="B19" s="221" t="str">
        <f>IF(Tageslicht!B19="","",Tageslicht!B19)</f>
        <v/>
      </c>
      <c r="C19" s="206"/>
      <c r="D19" s="206"/>
      <c r="E19" s="258"/>
      <c r="F19" s="259"/>
      <c r="G19" s="43" t="str">
        <f t="shared" si="2"/>
        <v/>
      </c>
      <c r="H19" s="220" t="str">
        <f t="shared" si="3"/>
        <v/>
      </c>
      <c r="I19" s="43">
        <f>Tageslicht!W19</f>
        <v>0</v>
      </c>
      <c r="J19" s="43" t="str">
        <f t="shared" si="0"/>
        <v/>
      </c>
      <c r="K19" s="43">
        <f>Tageslicht!S19*Tageslicht!H19</f>
        <v>0</v>
      </c>
      <c r="L19" s="43" t="str">
        <f t="shared" si="1"/>
        <v/>
      </c>
      <c r="M19" s="43" t="str">
        <f>IF(L19="","",IF(L19=3,Texte!$B$210,IF(L19=2,Texte!$B$211,IF(L19=1,Texte!$B$212,Texte!$B$213))))</f>
        <v/>
      </c>
      <c r="N19" s="226"/>
      <c r="O19" s="226"/>
      <c r="P19" s="226"/>
      <c r="Q19" s="226"/>
      <c r="R19" s="226"/>
      <c r="S19" s="226"/>
      <c r="T19" s="226"/>
    </row>
    <row r="20" spans="1:20" ht="16.5" thickTop="1" thickBot="1" x14ac:dyDescent="0.25">
      <c r="A20" s="42">
        <v>16</v>
      </c>
      <c r="B20" s="221" t="str">
        <f>IF(Tageslicht!B20="","",Tageslicht!B20)</f>
        <v/>
      </c>
      <c r="C20" s="206"/>
      <c r="D20" s="206"/>
      <c r="E20" s="258"/>
      <c r="F20" s="259"/>
      <c r="G20" s="43" t="str">
        <f t="shared" si="2"/>
        <v/>
      </c>
      <c r="H20" s="220" t="str">
        <f t="shared" si="3"/>
        <v/>
      </c>
      <c r="I20" s="43">
        <f>Tageslicht!W20</f>
        <v>0</v>
      </c>
      <c r="J20" s="43" t="str">
        <f t="shared" si="0"/>
        <v/>
      </c>
      <c r="K20" s="43">
        <f>Tageslicht!S20*Tageslicht!H20</f>
        <v>0</v>
      </c>
      <c r="L20" s="43" t="str">
        <f t="shared" si="1"/>
        <v/>
      </c>
      <c r="M20" s="43" t="str">
        <f>IF(L20="","",IF(L20=3,Texte!$B$210,IF(L20=2,Texte!$B$211,IF(L20=1,Texte!$B$212,Texte!$B$213))))</f>
        <v/>
      </c>
      <c r="N20" s="226"/>
      <c r="O20" s="226"/>
      <c r="P20" s="226"/>
      <c r="Q20" s="226"/>
      <c r="R20" s="226"/>
      <c r="S20" s="226"/>
      <c r="T20" s="226"/>
    </row>
    <row r="21" spans="1:20" ht="16.5" thickTop="1" thickBot="1" x14ac:dyDescent="0.25">
      <c r="A21" s="42">
        <v>17</v>
      </c>
      <c r="B21" s="221" t="str">
        <f>IF(Tageslicht!B21="","",Tageslicht!B21)</f>
        <v/>
      </c>
      <c r="C21" s="206"/>
      <c r="D21" s="206"/>
      <c r="E21" s="258"/>
      <c r="F21" s="259"/>
      <c r="G21" s="43" t="str">
        <f t="shared" si="2"/>
        <v/>
      </c>
      <c r="H21" s="220" t="str">
        <f t="shared" si="3"/>
        <v/>
      </c>
      <c r="I21" s="43">
        <f>Tageslicht!W21</f>
        <v>0</v>
      </c>
      <c r="J21" s="43" t="str">
        <f t="shared" si="0"/>
        <v/>
      </c>
      <c r="K21" s="43">
        <f>Tageslicht!S21*Tageslicht!H21</f>
        <v>0</v>
      </c>
      <c r="L21" s="43" t="str">
        <f t="shared" si="1"/>
        <v/>
      </c>
      <c r="M21" s="43" t="str">
        <f>IF(L21="","",IF(L21=3,Texte!$B$210,IF(L21=2,Texte!$B$211,IF(L21=1,Texte!$B$212,Texte!$B$213))))</f>
        <v/>
      </c>
      <c r="N21" s="226"/>
      <c r="O21" s="226"/>
      <c r="P21" s="226"/>
      <c r="Q21" s="226"/>
      <c r="R21" s="226"/>
      <c r="S21" s="226"/>
      <c r="T21" s="226"/>
    </row>
    <row r="22" spans="1:20" ht="16.5" thickTop="1" thickBot="1" x14ac:dyDescent="0.25">
      <c r="A22" s="42">
        <v>18</v>
      </c>
      <c r="B22" s="221" t="str">
        <f>IF(Tageslicht!B22="","",Tageslicht!B22)</f>
        <v/>
      </c>
      <c r="C22" s="206"/>
      <c r="D22" s="206"/>
      <c r="E22" s="264"/>
      <c r="F22" s="265"/>
      <c r="G22" s="43" t="str">
        <f t="shared" si="2"/>
        <v/>
      </c>
      <c r="H22" s="220" t="str">
        <f t="shared" si="3"/>
        <v/>
      </c>
      <c r="I22" s="43">
        <f>Tageslicht!W22</f>
        <v>0</v>
      </c>
      <c r="J22" s="43" t="str">
        <f t="shared" si="0"/>
        <v/>
      </c>
      <c r="K22" s="43">
        <f>Tageslicht!S22*Tageslicht!H22</f>
        <v>0</v>
      </c>
      <c r="L22" s="43" t="str">
        <f t="shared" si="1"/>
        <v/>
      </c>
      <c r="M22" s="43" t="str">
        <f>IF(L22="","",IF(L22=3,Texte!$B$210,IF(L22=2,Texte!$B$211,IF(L22=1,Texte!$B$212,Texte!$B$213))))</f>
        <v/>
      </c>
      <c r="N22" s="226"/>
      <c r="O22" s="226"/>
      <c r="P22" s="226"/>
      <c r="Q22" s="226"/>
      <c r="R22" s="226"/>
      <c r="S22" s="226"/>
      <c r="T22" s="226"/>
    </row>
    <row r="23" spans="1:20" ht="16.5" thickTop="1" thickBot="1" x14ac:dyDescent="0.25">
      <c r="A23" s="42">
        <v>19</v>
      </c>
      <c r="B23" s="221" t="str">
        <f>IF(Tageslicht!B23="","",Tageslicht!B23)</f>
        <v/>
      </c>
      <c r="C23" s="206"/>
      <c r="D23" s="206"/>
      <c r="E23" s="258"/>
      <c r="F23" s="259"/>
      <c r="G23" s="43" t="str">
        <f t="shared" si="2"/>
        <v/>
      </c>
      <c r="H23" s="220" t="str">
        <f t="shared" si="3"/>
        <v/>
      </c>
      <c r="I23" s="43">
        <f>Tageslicht!W23</f>
        <v>0</v>
      </c>
      <c r="J23" s="43" t="str">
        <f t="shared" si="0"/>
        <v/>
      </c>
      <c r="K23" s="43">
        <f>Tageslicht!S23*Tageslicht!H23</f>
        <v>0</v>
      </c>
      <c r="L23" s="43" t="str">
        <f t="shared" si="1"/>
        <v/>
      </c>
      <c r="M23" s="43" t="str">
        <f>IF(L23="","",IF(L23=3,Texte!$B$210,IF(L23=2,Texte!$B$211,IF(L23=1,Texte!$B$212,Texte!$B$213))))</f>
        <v/>
      </c>
      <c r="N23" s="226"/>
      <c r="O23" s="226"/>
      <c r="P23" s="226"/>
      <c r="Q23" s="226"/>
      <c r="R23" s="226"/>
      <c r="S23" s="226"/>
      <c r="T23" s="226"/>
    </row>
    <row r="24" spans="1:20" ht="16.5" thickTop="1" thickBot="1" x14ac:dyDescent="0.25">
      <c r="A24" s="42">
        <v>20</v>
      </c>
      <c r="B24" s="221" t="str">
        <f>IF(Tageslicht!B24="","",Tageslicht!B24)</f>
        <v/>
      </c>
      <c r="C24" s="206"/>
      <c r="D24" s="206"/>
      <c r="E24" s="258"/>
      <c r="F24" s="259"/>
      <c r="G24" s="43" t="str">
        <f t="shared" si="2"/>
        <v/>
      </c>
      <c r="H24" s="220" t="str">
        <f t="shared" si="3"/>
        <v/>
      </c>
      <c r="I24" s="43">
        <f>Tageslicht!W24</f>
        <v>0</v>
      </c>
      <c r="J24" s="43" t="str">
        <f t="shared" si="0"/>
        <v/>
      </c>
      <c r="K24" s="43">
        <f>Tageslicht!S24*Tageslicht!H24</f>
        <v>0</v>
      </c>
      <c r="L24" s="43" t="str">
        <f t="shared" si="1"/>
        <v/>
      </c>
      <c r="M24" s="43" t="str">
        <f>IF(L24="","",IF(L24=3,Texte!$B$210,IF(L24=2,Texte!$B$211,IF(L24=1,Texte!$B$212,Texte!$B$213))))</f>
        <v/>
      </c>
      <c r="N24" s="226"/>
      <c r="O24" s="226"/>
      <c r="P24" s="226"/>
      <c r="Q24" s="226"/>
      <c r="R24" s="226"/>
      <c r="S24" s="226"/>
      <c r="T24" s="226"/>
    </row>
    <row r="25" spans="1:20" ht="16.5" thickTop="1" thickBot="1" x14ac:dyDescent="0.25">
      <c r="A25" s="42">
        <v>21</v>
      </c>
      <c r="B25" s="221" t="str">
        <f>IF(Tageslicht!B25="","",Tageslicht!B25)</f>
        <v/>
      </c>
      <c r="C25" s="206"/>
      <c r="D25" s="206"/>
      <c r="E25" s="258"/>
      <c r="F25" s="259"/>
      <c r="G25" s="43" t="str">
        <f t="shared" si="2"/>
        <v/>
      </c>
      <c r="H25" s="220" t="str">
        <f t="shared" si="3"/>
        <v/>
      </c>
      <c r="I25" s="43">
        <f>Tageslicht!W25</f>
        <v>0</v>
      </c>
      <c r="J25" s="43" t="str">
        <f t="shared" si="0"/>
        <v/>
      </c>
      <c r="K25" s="43">
        <f>Tageslicht!S25*Tageslicht!H25</f>
        <v>0</v>
      </c>
      <c r="L25" s="43" t="str">
        <f t="shared" si="1"/>
        <v/>
      </c>
      <c r="M25" s="43" t="str">
        <f>IF(L25="","",IF(L25=3,Texte!$B$210,IF(L25=2,Texte!$B$211,IF(L25=1,Texte!$B$212,Texte!$B$213))))</f>
        <v/>
      </c>
      <c r="N25" s="226"/>
      <c r="O25" s="226"/>
      <c r="P25" s="226"/>
      <c r="Q25" s="226"/>
      <c r="R25" s="226"/>
      <c r="S25" s="226"/>
      <c r="T25" s="226"/>
    </row>
    <row r="26" spans="1:20" ht="16.5" thickTop="1" thickBot="1" x14ac:dyDescent="0.25">
      <c r="A26" s="42">
        <v>22</v>
      </c>
      <c r="B26" s="221" t="str">
        <f>IF(Tageslicht!B26="","",Tageslicht!B26)</f>
        <v/>
      </c>
      <c r="C26" s="206"/>
      <c r="D26" s="206"/>
      <c r="E26" s="258"/>
      <c r="F26" s="259"/>
      <c r="G26" s="43" t="str">
        <f t="shared" si="2"/>
        <v/>
      </c>
      <c r="H26" s="220" t="str">
        <f t="shared" si="3"/>
        <v/>
      </c>
      <c r="I26" s="43">
        <f>Tageslicht!W26</f>
        <v>0</v>
      </c>
      <c r="J26" s="43" t="str">
        <f t="shared" si="0"/>
        <v/>
      </c>
      <c r="K26" s="43">
        <f>Tageslicht!S26*Tageslicht!H26</f>
        <v>0</v>
      </c>
      <c r="L26" s="43" t="str">
        <f t="shared" si="1"/>
        <v/>
      </c>
      <c r="M26" s="43" t="str">
        <f>IF(L26="","",IF(L26=3,Texte!$B$210,IF(L26=2,Texte!$B$211,IF(L26=1,Texte!$B$212,Texte!$B$213))))</f>
        <v/>
      </c>
      <c r="N26" s="226"/>
      <c r="O26" s="226"/>
      <c r="P26" s="226"/>
      <c r="Q26" s="226"/>
      <c r="R26" s="226"/>
      <c r="S26" s="226"/>
      <c r="T26" s="226"/>
    </row>
    <row r="27" spans="1:20" ht="16.5" thickTop="1" thickBot="1" x14ac:dyDescent="0.25">
      <c r="A27" s="42">
        <v>23</v>
      </c>
      <c r="B27" s="221" t="str">
        <f>IF(Tageslicht!B27="","",Tageslicht!B27)</f>
        <v/>
      </c>
      <c r="C27" s="206"/>
      <c r="D27" s="206"/>
      <c r="E27" s="258"/>
      <c r="F27" s="259"/>
      <c r="G27" s="43" t="str">
        <f t="shared" si="2"/>
        <v/>
      </c>
      <c r="H27" s="220" t="str">
        <f t="shared" si="3"/>
        <v/>
      </c>
      <c r="I27" s="43">
        <f>Tageslicht!W27</f>
        <v>0</v>
      </c>
      <c r="J27" s="43" t="str">
        <f t="shared" si="0"/>
        <v/>
      </c>
      <c r="K27" s="43">
        <f>Tageslicht!S27*Tageslicht!H27</f>
        <v>0</v>
      </c>
      <c r="L27" s="43" t="str">
        <f t="shared" si="1"/>
        <v/>
      </c>
      <c r="M27" s="43" t="str">
        <f>IF(L27="","",IF(L27=3,Texte!$B$210,IF(L27=2,Texte!$B$211,IF(L27=1,Texte!$B$212,Texte!$B$213))))</f>
        <v/>
      </c>
      <c r="N27" s="226"/>
      <c r="O27" s="226"/>
      <c r="P27" s="226"/>
      <c r="Q27" s="226"/>
      <c r="R27" s="226"/>
      <c r="S27" s="226"/>
      <c r="T27" s="226"/>
    </row>
    <row r="28" spans="1:20" ht="16.5" thickTop="1" thickBot="1" x14ac:dyDescent="0.25">
      <c r="A28" s="42">
        <v>24</v>
      </c>
      <c r="B28" s="221" t="str">
        <f>IF(Tageslicht!B28="","",Tageslicht!B28)</f>
        <v/>
      </c>
      <c r="C28" s="206"/>
      <c r="D28" s="206"/>
      <c r="E28" s="258"/>
      <c r="F28" s="259"/>
      <c r="G28" s="43" t="str">
        <f t="shared" si="2"/>
        <v/>
      </c>
      <c r="H28" s="220" t="str">
        <f t="shared" si="3"/>
        <v/>
      </c>
      <c r="I28" s="43">
        <f>Tageslicht!W28</f>
        <v>0</v>
      </c>
      <c r="J28" s="43" t="str">
        <f t="shared" si="0"/>
        <v/>
      </c>
      <c r="K28" s="43">
        <f>Tageslicht!S28*Tageslicht!H28</f>
        <v>0</v>
      </c>
      <c r="L28" s="43" t="str">
        <f t="shared" si="1"/>
        <v/>
      </c>
      <c r="M28" s="43" t="str">
        <f>IF(L28="","",IF(L28=3,Texte!$B$210,IF(L28=2,Texte!$B$211,IF(L28=1,Texte!$B$212,Texte!$B$213))))</f>
        <v/>
      </c>
      <c r="N28" s="226"/>
      <c r="O28" s="226"/>
      <c r="P28" s="226"/>
      <c r="Q28" s="226"/>
      <c r="R28" s="226"/>
      <c r="S28" s="226"/>
      <c r="T28" s="226"/>
    </row>
    <row r="29" spans="1:20" ht="16.5" thickTop="1" thickBot="1" x14ac:dyDescent="0.25">
      <c r="A29" s="42">
        <v>25</v>
      </c>
      <c r="B29" s="221" t="str">
        <f>IF(Tageslicht!B29="","",Tageslicht!B29)</f>
        <v/>
      </c>
      <c r="C29" s="206"/>
      <c r="D29" s="206"/>
      <c r="E29" s="258"/>
      <c r="F29" s="259"/>
      <c r="G29" s="43" t="str">
        <f t="shared" si="2"/>
        <v/>
      </c>
      <c r="H29" s="220" t="str">
        <f t="shared" si="3"/>
        <v/>
      </c>
      <c r="I29" s="43">
        <f>Tageslicht!W29</f>
        <v>0</v>
      </c>
      <c r="J29" s="43" t="str">
        <f t="shared" si="0"/>
        <v/>
      </c>
      <c r="K29" s="43">
        <f>Tageslicht!S29*Tageslicht!H29</f>
        <v>0</v>
      </c>
      <c r="L29" s="43" t="str">
        <f t="shared" si="1"/>
        <v/>
      </c>
      <c r="M29" s="43" t="str">
        <f>IF(L29="","",IF(L29=3,Texte!$B$210,IF(L29=2,Texte!$B$211,IF(L29=1,Texte!$B$212,Texte!$B$213))))</f>
        <v/>
      </c>
      <c r="N29" s="226"/>
      <c r="O29" s="226"/>
      <c r="P29" s="226"/>
      <c r="Q29" s="226"/>
      <c r="R29" s="226"/>
      <c r="S29" s="226"/>
      <c r="T29" s="226"/>
    </row>
    <row r="30" spans="1:20" ht="16.5" thickTop="1" thickBot="1" x14ac:dyDescent="0.25">
      <c r="A30" s="42">
        <v>26</v>
      </c>
      <c r="B30" s="221" t="str">
        <f>IF(Tageslicht!B30="","",Tageslicht!B30)</f>
        <v/>
      </c>
      <c r="C30" s="206"/>
      <c r="D30" s="206"/>
      <c r="E30" s="258"/>
      <c r="F30" s="259"/>
      <c r="G30" s="43" t="str">
        <f t="shared" si="2"/>
        <v/>
      </c>
      <c r="H30" s="220" t="str">
        <f t="shared" si="3"/>
        <v/>
      </c>
      <c r="I30" s="43">
        <f>Tageslicht!W30</f>
        <v>0</v>
      </c>
      <c r="J30" s="43" t="str">
        <f t="shared" si="0"/>
        <v/>
      </c>
      <c r="K30" s="43">
        <f>Tageslicht!S30*Tageslicht!H30</f>
        <v>0</v>
      </c>
      <c r="L30" s="43" t="str">
        <f t="shared" si="1"/>
        <v/>
      </c>
      <c r="M30" s="43" t="str">
        <f>IF(L30="","",IF(L30=3,Texte!$B$210,IF(L30=2,Texte!$B$211,IF(L30=1,Texte!$B$212,Texte!$B$213))))</f>
        <v/>
      </c>
      <c r="N30" s="226"/>
      <c r="O30" s="226"/>
      <c r="P30" s="226"/>
      <c r="Q30" s="226"/>
      <c r="R30" s="226"/>
      <c r="S30" s="226"/>
      <c r="T30" s="226"/>
    </row>
    <row r="31" spans="1:20" ht="16.5" thickTop="1" thickBot="1" x14ac:dyDescent="0.25">
      <c r="A31" s="42">
        <v>27</v>
      </c>
      <c r="B31" s="221" t="str">
        <f>IF(Tageslicht!B31="","",Tageslicht!B31)</f>
        <v/>
      </c>
      <c r="C31" s="206"/>
      <c r="D31" s="206"/>
      <c r="E31" s="258"/>
      <c r="F31" s="259"/>
      <c r="G31" s="43" t="str">
        <f t="shared" si="2"/>
        <v/>
      </c>
      <c r="H31" s="220" t="str">
        <f t="shared" si="3"/>
        <v/>
      </c>
      <c r="I31" s="43">
        <f>Tageslicht!W31</f>
        <v>0</v>
      </c>
      <c r="J31" s="43" t="str">
        <f t="shared" si="0"/>
        <v/>
      </c>
      <c r="K31" s="43">
        <f>Tageslicht!S31*Tageslicht!H31</f>
        <v>0</v>
      </c>
      <c r="L31" s="43" t="str">
        <f t="shared" si="1"/>
        <v/>
      </c>
      <c r="M31" s="43" t="str">
        <f>IF(L31="","",IF(L31=3,Texte!$B$210,IF(L31=2,Texte!$B$211,IF(L31=1,Texte!$B$212,Texte!$B$213))))</f>
        <v/>
      </c>
      <c r="N31" s="226"/>
      <c r="O31" s="226"/>
      <c r="P31" s="226"/>
      <c r="Q31" s="226"/>
      <c r="R31" s="226"/>
      <c r="S31" s="226"/>
      <c r="T31" s="226"/>
    </row>
    <row r="32" spans="1:20" ht="16.5" thickTop="1" thickBot="1" x14ac:dyDescent="0.25">
      <c r="A32" s="42">
        <v>28</v>
      </c>
      <c r="B32" s="221" t="str">
        <f>IF(Tageslicht!B32="","",Tageslicht!B32)</f>
        <v/>
      </c>
      <c r="C32" s="206"/>
      <c r="D32" s="206"/>
      <c r="E32" s="258"/>
      <c r="F32" s="259"/>
      <c r="G32" s="43" t="str">
        <f t="shared" si="2"/>
        <v/>
      </c>
      <c r="H32" s="220" t="str">
        <f t="shared" si="3"/>
        <v/>
      </c>
      <c r="I32" s="43">
        <f>Tageslicht!W32</f>
        <v>0</v>
      </c>
      <c r="J32" s="43" t="str">
        <f t="shared" si="0"/>
        <v/>
      </c>
      <c r="K32" s="43">
        <f>Tageslicht!S32*Tageslicht!H32</f>
        <v>0</v>
      </c>
      <c r="L32" s="43" t="str">
        <f t="shared" si="1"/>
        <v/>
      </c>
      <c r="M32" s="43" t="str">
        <f>IF(L32="","",IF(L32=3,Texte!$B$210,IF(L32=2,Texte!$B$211,IF(L32=1,Texte!$B$212,Texte!$B$213))))</f>
        <v/>
      </c>
      <c r="N32" s="226"/>
      <c r="O32" s="226"/>
      <c r="P32" s="226"/>
      <c r="Q32" s="226"/>
      <c r="R32" s="226"/>
      <c r="S32" s="226"/>
      <c r="T32" s="226"/>
    </row>
    <row r="33" spans="1:20" ht="16.5" thickTop="1" thickBot="1" x14ac:dyDescent="0.25">
      <c r="A33" s="42">
        <v>29</v>
      </c>
      <c r="B33" s="221" t="str">
        <f>IF(Tageslicht!B33="","",Tageslicht!B33)</f>
        <v/>
      </c>
      <c r="C33" s="206"/>
      <c r="D33" s="206"/>
      <c r="E33" s="258"/>
      <c r="F33" s="259"/>
      <c r="G33" s="43" t="str">
        <f t="shared" si="2"/>
        <v/>
      </c>
      <c r="H33" s="220" t="str">
        <f t="shared" si="3"/>
        <v/>
      </c>
      <c r="I33" s="43">
        <f>Tageslicht!W33</f>
        <v>0</v>
      </c>
      <c r="J33" s="43" t="str">
        <f t="shared" si="0"/>
        <v/>
      </c>
      <c r="K33" s="43">
        <f>Tageslicht!S33*Tageslicht!H33</f>
        <v>0</v>
      </c>
      <c r="L33" s="43" t="str">
        <f t="shared" si="1"/>
        <v/>
      </c>
      <c r="M33" s="43" t="str">
        <f>IF(L33="","",IF(L33=3,Texte!$B$210,IF(L33=2,Texte!$B$211,IF(L33=1,Texte!$B$212,Texte!$B$213))))</f>
        <v/>
      </c>
      <c r="N33" s="226"/>
      <c r="O33" s="226"/>
      <c r="P33" s="226"/>
      <c r="Q33" s="226"/>
      <c r="R33" s="226"/>
      <c r="S33" s="226"/>
      <c r="T33" s="226"/>
    </row>
    <row r="34" spans="1:20" ht="16.5" thickTop="1" thickBot="1" x14ac:dyDescent="0.25">
      <c r="A34" s="42">
        <v>30</v>
      </c>
      <c r="B34" s="221" t="str">
        <f>IF(Tageslicht!B34="","",Tageslicht!B34)</f>
        <v/>
      </c>
      <c r="C34" s="206"/>
      <c r="D34" s="206"/>
      <c r="E34" s="258"/>
      <c r="F34" s="259"/>
      <c r="G34" s="43" t="str">
        <f t="shared" si="2"/>
        <v/>
      </c>
      <c r="H34" s="220" t="str">
        <f t="shared" si="3"/>
        <v/>
      </c>
      <c r="I34" s="43">
        <f>Tageslicht!W34</f>
        <v>0</v>
      </c>
      <c r="J34" s="43" t="str">
        <f t="shared" si="0"/>
        <v/>
      </c>
      <c r="K34" s="43">
        <f>Tageslicht!S34*Tageslicht!H34</f>
        <v>0</v>
      </c>
      <c r="L34" s="43" t="str">
        <f t="shared" si="1"/>
        <v/>
      </c>
      <c r="M34" s="43" t="str">
        <f>IF(L34="","",IF(L34=3,Texte!$B$210,IF(L34=2,Texte!$B$211,IF(L34=1,Texte!$B$212,Texte!$B$213))))</f>
        <v/>
      </c>
      <c r="N34" s="226"/>
      <c r="O34" s="226"/>
      <c r="P34" s="226"/>
      <c r="Q34" s="226"/>
      <c r="R34" s="226"/>
      <c r="S34" s="226"/>
      <c r="T34" s="226"/>
    </row>
    <row r="35" spans="1:20" ht="16.5" thickTop="1" thickBot="1" x14ac:dyDescent="0.25">
      <c r="A35" s="112"/>
      <c r="B35" s="112"/>
      <c r="K35" s="207">
        <f>SUM(K5:K34)</f>
        <v>0</v>
      </c>
      <c r="L35" s="207">
        <f>IFERROR(ROUND(SUMPRODUCT(L5:L34,K5:K34)/SummeRaumFlaeche,1),0)</f>
        <v>0</v>
      </c>
      <c r="M35" s="43" t="str">
        <f>IF(L35="","",IF(L35=3,Texte!$B$210,IF(L35=2,Texte!$B$211,IF(L35=1,Texte!$B$212,Texte!$B$213))))</f>
        <v>Ungenügend</v>
      </c>
      <c r="N35" s="226"/>
      <c r="O35" s="226"/>
      <c r="P35" s="226"/>
      <c r="Q35" s="226"/>
      <c r="R35" s="226"/>
      <c r="S35" s="226"/>
      <c r="T35" s="226"/>
    </row>
    <row r="36" spans="1:20" ht="21" customHeight="1" thickTop="1" x14ac:dyDescent="0.2">
      <c r="A36" s="103"/>
      <c r="B36" s="104" t="str">
        <f>VLOOKUP(ADDRESS(ROW(),COLUMN(),4),MatrixTexteT5,2,FALSE)</f>
        <v>Ergebnisse</v>
      </c>
      <c r="C36" s="260" t="str">
        <f>VLOOKUP(ADDRESS(ROW(),COLUMN(),4),MatrixTexteT5,2,FALSE)</f>
        <v>Resultate aus diesem Blatt</v>
      </c>
      <c r="D36" s="261"/>
      <c r="E36" s="180" t="str">
        <f>VLOOKUP(ADDRESS(ROW(),COLUMN(),4),MatrixTexteT5,2,FALSE)</f>
        <v>Übertrag aus anderen Blättern</v>
      </c>
      <c r="F36" s="104"/>
      <c r="G36" s="180" t="str">
        <f>VLOOKUP(ADDRESS(ROW(),COLUMN(),4),MatrixTexteT5,2,FALSE)</f>
        <v>Gesamtresultat</v>
      </c>
      <c r="H36" s="208"/>
      <c r="N36" s="226"/>
      <c r="O36" s="226"/>
      <c r="P36" s="226"/>
      <c r="Q36" s="226"/>
      <c r="R36" s="226"/>
      <c r="S36" s="226"/>
      <c r="T36" s="226"/>
    </row>
    <row r="37" spans="1:20" ht="15" customHeight="1" thickBot="1" x14ac:dyDescent="0.25">
      <c r="A37" s="32"/>
      <c r="B37" s="33" t="str">
        <f>VLOOKUP(ADDRESS(ROW(),COLUMN(),4),MatrixTexteT5,2,FALSE)</f>
        <v>Bezeichnung</v>
      </c>
      <c r="C37" s="209" t="str">
        <f>VLOOKUP(ADDRESS(ROW(),COLUMN(),4),MatrixTexteT5,2,FALSE)</f>
        <v>Gesamtfläche</v>
      </c>
      <c r="D37" s="209" t="str">
        <f>VLOOKUP(ADDRESS(ROW(),COLUMN(),4),MatrixTexteT5,2,FALSE)</f>
        <v>Resultat</v>
      </c>
      <c r="E37" s="209" t="str">
        <f>VLOOKUP(ADDRESS(ROW(),COLUMN(),4),MatrixTexteT5,2,FALSE)</f>
        <v>Gesamtfläche</v>
      </c>
      <c r="F37" s="209" t="str">
        <f>VLOOKUP(ADDRESS(ROW(),COLUMN(),4),MatrixTexteT5,2,FALSE)</f>
        <v>Resultat</v>
      </c>
      <c r="G37" s="209" t="str">
        <f>VLOOKUP(ADDRESS(ROW(),COLUMN(),4),MatrixTexteT5,2,FALSE)</f>
        <v>Gesamtfläche</v>
      </c>
      <c r="H37" s="209" t="str">
        <f>VLOOKUP(ADDRESS(ROW(),COLUMN(),4),MatrixTexteT5,2,FALSE)</f>
        <v>Resultat</v>
      </c>
      <c r="N37" s="226"/>
      <c r="O37" s="226"/>
      <c r="P37" s="226"/>
      <c r="Q37" s="226"/>
      <c r="R37" s="226"/>
      <c r="S37" s="226"/>
      <c r="T37" s="226"/>
    </row>
    <row r="38" spans="1:20" ht="16.5" thickTop="1" thickBot="1" x14ac:dyDescent="0.25">
      <c r="A38" s="66"/>
      <c r="B38" s="92" t="str">
        <f>VLOOKUP(ADDRESS(ROW(),COLUMN(),4),MatrixTexteT5,2,FALSE)</f>
        <v>Qualität des Ausblicks (über alle Räume)</v>
      </c>
      <c r="C38" s="222">
        <f>K35</f>
        <v>0</v>
      </c>
      <c r="D38" s="219">
        <f>L35</f>
        <v>0</v>
      </c>
      <c r="E38" s="213"/>
      <c r="F38" s="217"/>
      <c r="G38" s="215">
        <f>C38+E38</f>
        <v>0</v>
      </c>
      <c r="H38" s="218" t="str">
        <f>M38</f>
        <v>Ungenügend</v>
      </c>
      <c r="L38" s="207">
        <f>IFERROR(ROUND((L35*K35+F38*E38)/G38,0),0)</f>
        <v>0</v>
      </c>
      <c r="M38" s="43" t="str">
        <f>IF(L38="","",IF(L38=3,Texte!$B$210,IF(L38=2,Texte!$B$211,IF(L38=1,Texte!$B$212,Texte!$B$213))))</f>
        <v>Ungenügend</v>
      </c>
      <c r="N38" s="226"/>
      <c r="O38" s="226"/>
      <c r="P38" s="226"/>
      <c r="Q38" s="226"/>
      <c r="R38" s="226"/>
      <c r="S38" s="226"/>
      <c r="T38" s="226"/>
    </row>
    <row r="39" spans="1:20" ht="16.5" thickTop="1" thickBot="1" x14ac:dyDescent="0.25">
      <c r="A39" s="66"/>
      <c r="B39" s="92" t="str">
        <f>VLOOKUP(ADDRESS(ROW(),COLUMN(),4),MatrixTexteT5,2,FALSE)&amp;TEXT(MaxUFläche,"0%")&amp;")"</f>
        <v>Anteil der Raumfläche mit ungenügendem Ergebnis (maximal 20%)</v>
      </c>
      <c r="C39" s="223">
        <f>SUMPRODUCT((L5:L34=0)*K5:K34)</f>
        <v>0</v>
      </c>
      <c r="D39" s="212">
        <f>IFERROR(SUMPRODUCT((L5:L34=0)*K5:K34)/K35,0)</f>
        <v>0</v>
      </c>
      <c r="E39" s="214"/>
      <c r="F39" s="211"/>
      <c r="G39" s="216">
        <f>C39+E39</f>
        <v>0</v>
      </c>
      <c r="H39" s="210">
        <f>IFERROR(G39/G38,0)</f>
        <v>0</v>
      </c>
      <c r="N39" s="226"/>
      <c r="O39" s="226"/>
      <c r="P39" s="226"/>
      <c r="Q39" s="226"/>
      <c r="R39" s="226"/>
      <c r="S39" s="226"/>
      <c r="T39" s="226"/>
    </row>
    <row r="40" spans="1:20" ht="25.5" customHeight="1" thickTop="1" thickBot="1" x14ac:dyDescent="0.25">
      <c r="A40" s="199"/>
      <c r="B40" s="200" t="str">
        <f>VLOOKUP(ADDRESS(ROW(),COLUMN(),4),MatrixTexteT5,2,FALSE)</f>
        <v>Die Anforderungen von MINERGIE-ECO sind</v>
      </c>
      <c r="C40" s="200"/>
      <c r="D40" s="200"/>
      <c r="E40" s="200"/>
      <c r="F40" s="200"/>
      <c r="G40" s="250" t="str">
        <f>IFERROR(IF(AND(L35&gt;1,H39&lt;MaxUFläche),Texte!B215,IF(AND(L35&gt;0,H39&lt;MaxUFläche),Texte!B216,Texte!B217)),"")</f>
        <v>nicht erfüllt</v>
      </c>
      <c r="H40" s="250"/>
      <c r="N40" s="226"/>
      <c r="O40" s="226"/>
      <c r="P40" s="226"/>
      <c r="Q40" s="226"/>
      <c r="R40" s="226"/>
      <c r="S40" s="226"/>
      <c r="T40" s="226"/>
    </row>
    <row r="41" spans="1:20" ht="15.75" thickTop="1" x14ac:dyDescent="0.2">
      <c r="A41" s="226"/>
      <c r="B41" s="226"/>
      <c r="C41" s="226"/>
      <c r="D41" s="226"/>
      <c r="E41" s="226"/>
      <c r="F41" s="226"/>
      <c r="G41" s="226"/>
      <c r="H41" s="226"/>
      <c r="N41" s="226"/>
      <c r="O41" s="226"/>
      <c r="P41" s="226"/>
      <c r="Q41" s="226"/>
      <c r="R41" s="226"/>
      <c r="S41" s="226"/>
      <c r="T41" s="226"/>
    </row>
    <row r="42" spans="1:20" x14ac:dyDescent="0.2">
      <c r="A42" s="226"/>
      <c r="B42" s="226"/>
      <c r="C42" s="226"/>
      <c r="D42" s="226"/>
      <c r="E42" s="226"/>
      <c r="F42" s="226"/>
      <c r="G42" s="226"/>
      <c r="H42" s="226"/>
      <c r="N42" s="226"/>
      <c r="O42" s="226"/>
      <c r="P42" s="226"/>
      <c r="Q42" s="226"/>
      <c r="R42" s="226"/>
      <c r="S42" s="226"/>
      <c r="T42" s="226"/>
    </row>
    <row r="43" spans="1:20" x14ac:dyDescent="0.2">
      <c r="A43" s="226"/>
      <c r="B43" s="226"/>
      <c r="C43" s="226"/>
      <c r="D43" s="226"/>
      <c r="E43" s="226"/>
      <c r="F43" s="226"/>
      <c r="G43" s="226"/>
      <c r="H43" s="226"/>
      <c r="N43" s="226"/>
      <c r="O43" s="226"/>
      <c r="P43" s="226"/>
      <c r="Q43" s="226"/>
      <c r="R43" s="226"/>
      <c r="S43" s="226"/>
      <c r="T43" s="226"/>
    </row>
    <row r="44" spans="1:20" x14ac:dyDescent="0.2">
      <c r="A44" s="226"/>
      <c r="B44" s="226"/>
      <c r="C44" s="226"/>
      <c r="D44" s="226"/>
      <c r="E44" s="226"/>
      <c r="F44" s="226"/>
      <c r="G44" s="226"/>
      <c r="H44" s="226"/>
      <c r="N44" s="226"/>
      <c r="O44" s="226"/>
      <c r="P44" s="226"/>
      <c r="Q44" s="226"/>
      <c r="R44" s="226"/>
      <c r="S44" s="226"/>
      <c r="T44" s="226"/>
    </row>
    <row r="45" spans="1:20" x14ac:dyDescent="0.2">
      <c r="A45" s="226"/>
      <c r="B45" s="226"/>
      <c r="C45" s="226"/>
      <c r="D45" s="226"/>
      <c r="E45" s="226"/>
      <c r="F45" s="226"/>
      <c r="G45" s="226"/>
      <c r="H45" s="226"/>
      <c r="N45" s="226"/>
      <c r="O45" s="226"/>
      <c r="P45" s="226"/>
      <c r="Q45" s="226"/>
      <c r="R45" s="226"/>
      <c r="S45" s="226"/>
      <c r="T45" s="226"/>
    </row>
    <row r="46" spans="1:20" x14ac:dyDescent="0.2">
      <c r="A46" s="226"/>
      <c r="B46" s="226"/>
      <c r="C46" s="226"/>
      <c r="D46" s="226"/>
      <c r="E46" s="226"/>
      <c r="F46" s="226"/>
      <c r="G46" s="226"/>
      <c r="H46" s="226"/>
      <c r="N46" s="226"/>
      <c r="O46" s="226"/>
      <c r="P46" s="226"/>
      <c r="Q46" s="226"/>
      <c r="R46" s="226"/>
      <c r="S46" s="226"/>
      <c r="T46" s="226"/>
    </row>
    <row r="47" spans="1:20" x14ac:dyDescent="0.2">
      <c r="A47" s="226"/>
      <c r="B47" s="226"/>
      <c r="C47" s="226"/>
      <c r="D47" s="226"/>
      <c r="E47" s="226"/>
      <c r="F47" s="226"/>
      <c r="G47" s="226"/>
      <c r="H47" s="226"/>
      <c r="N47" s="226"/>
      <c r="O47" s="226"/>
      <c r="P47" s="226"/>
      <c r="Q47" s="226"/>
      <c r="R47" s="226"/>
      <c r="S47" s="226"/>
      <c r="T47" s="226"/>
    </row>
    <row r="48" spans="1:20" x14ac:dyDescent="0.2">
      <c r="A48" s="226"/>
      <c r="B48" s="226"/>
      <c r="C48" s="226"/>
      <c r="D48" s="226"/>
      <c r="E48" s="226"/>
      <c r="F48" s="226"/>
      <c r="G48" s="226"/>
      <c r="H48" s="226"/>
      <c r="N48" s="226"/>
      <c r="O48" s="226"/>
      <c r="P48" s="226"/>
      <c r="Q48" s="226"/>
      <c r="R48" s="226"/>
      <c r="S48" s="226"/>
      <c r="T48" s="226"/>
    </row>
    <row r="49" spans="1:20" x14ac:dyDescent="0.2">
      <c r="A49" s="226"/>
      <c r="B49" s="226"/>
      <c r="C49" s="226"/>
      <c r="D49" s="226"/>
      <c r="E49" s="226"/>
      <c r="F49" s="226"/>
      <c r="G49" s="226"/>
      <c r="H49" s="226"/>
      <c r="N49" s="226"/>
      <c r="O49" s="226"/>
      <c r="P49" s="226"/>
      <c r="Q49" s="226"/>
      <c r="R49" s="226"/>
      <c r="S49" s="226"/>
      <c r="T49" s="226"/>
    </row>
    <row r="50" spans="1:20" x14ac:dyDescent="0.2">
      <c r="A50" s="226"/>
      <c r="B50" s="226"/>
      <c r="C50" s="226"/>
      <c r="D50" s="226"/>
      <c r="E50" s="226"/>
      <c r="F50" s="226"/>
      <c r="G50" s="226"/>
      <c r="H50" s="226"/>
      <c r="N50" s="226"/>
      <c r="O50" s="226"/>
      <c r="P50" s="226"/>
      <c r="Q50" s="226"/>
      <c r="R50" s="226"/>
      <c r="S50" s="226"/>
      <c r="T50" s="226"/>
    </row>
    <row r="51" spans="1:20" x14ac:dyDescent="0.2">
      <c r="A51" s="226"/>
      <c r="B51" s="226"/>
      <c r="C51" s="226"/>
      <c r="D51" s="226"/>
      <c r="E51" s="226"/>
      <c r="F51" s="226"/>
      <c r="G51" s="226"/>
      <c r="H51" s="226"/>
      <c r="N51" s="226"/>
      <c r="O51" s="226"/>
      <c r="P51" s="226"/>
      <c r="Q51" s="226"/>
      <c r="R51" s="226"/>
      <c r="S51" s="226"/>
      <c r="T51" s="226"/>
    </row>
    <row r="52" spans="1:20" x14ac:dyDescent="0.2">
      <c r="A52" s="226"/>
      <c r="B52" s="226"/>
      <c r="C52" s="226"/>
      <c r="D52" s="226"/>
      <c r="E52" s="226"/>
      <c r="F52" s="226"/>
      <c r="G52" s="226"/>
      <c r="H52" s="226"/>
      <c r="N52" s="226"/>
      <c r="O52" s="226"/>
      <c r="P52" s="226"/>
      <c r="Q52" s="226"/>
      <c r="R52" s="226"/>
      <c r="S52" s="226"/>
      <c r="T52" s="226"/>
    </row>
    <row r="53" spans="1:20" x14ac:dyDescent="0.2">
      <c r="A53" s="226"/>
      <c r="B53" s="226"/>
      <c r="C53" s="226"/>
      <c r="D53" s="226"/>
      <c r="E53" s="226"/>
      <c r="F53" s="226"/>
      <c r="G53" s="226"/>
      <c r="H53" s="226"/>
      <c r="N53" s="226"/>
      <c r="O53" s="226"/>
      <c r="P53" s="226"/>
      <c r="Q53" s="226"/>
      <c r="R53" s="226"/>
      <c r="S53" s="226"/>
      <c r="T53" s="226"/>
    </row>
    <row r="54" spans="1:20" x14ac:dyDescent="0.2">
      <c r="A54" s="226"/>
      <c r="B54" s="226"/>
      <c r="C54" s="226"/>
      <c r="D54" s="226"/>
      <c r="E54" s="226"/>
      <c r="F54" s="226"/>
      <c r="G54" s="226"/>
      <c r="H54" s="226"/>
      <c r="N54" s="226"/>
      <c r="O54" s="226"/>
      <c r="P54" s="226"/>
      <c r="Q54" s="226"/>
      <c r="R54" s="226"/>
      <c r="S54" s="226"/>
      <c r="T54" s="226"/>
    </row>
    <row r="55" spans="1:20" x14ac:dyDescent="0.2">
      <c r="A55" s="226"/>
      <c r="B55" s="226"/>
      <c r="C55" s="226"/>
      <c r="D55" s="226"/>
      <c r="E55" s="226"/>
      <c r="F55" s="226"/>
      <c r="G55" s="226"/>
      <c r="H55" s="226"/>
      <c r="N55" s="226"/>
      <c r="O55" s="226"/>
      <c r="P55" s="226"/>
      <c r="Q55" s="226"/>
      <c r="R55" s="226"/>
      <c r="S55" s="226"/>
      <c r="T55" s="226"/>
    </row>
    <row r="56" spans="1:20" x14ac:dyDescent="0.2">
      <c r="A56" s="226"/>
      <c r="B56" s="226"/>
      <c r="C56" s="226"/>
      <c r="D56" s="226"/>
      <c r="E56" s="226"/>
      <c r="F56" s="226"/>
      <c r="G56" s="226"/>
      <c r="H56" s="226"/>
      <c r="N56" s="226"/>
      <c r="O56" s="226"/>
      <c r="P56" s="226"/>
      <c r="Q56" s="226"/>
      <c r="R56" s="226"/>
      <c r="S56" s="226"/>
      <c r="T56" s="226"/>
    </row>
  </sheetData>
  <sheetProtection algorithmName="SHA-512" hashValue="KELh7k92PxlaNDJ7JdPYtkAPIWAJuN0qVYKcCVAJmA5QdC2OZJFACzdK30t4JFDWOkbLPBgS1NO8KRzSX+Zl6w==" saltValue="YRwaXzQmeTxrlYsTmB3Iyw==" spinCount="100000" sheet="1" objects="1" scenarios="1" selectLockedCells="1"/>
  <mergeCells count="36">
    <mergeCell ref="I3:M3"/>
    <mergeCell ref="E10:F10"/>
    <mergeCell ref="E11:F11"/>
    <mergeCell ref="E12:F12"/>
    <mergeCell ref="E13:F13"/>
    <mergeCell ref="C3:F3"/>
    <mergeCell ref="G3:H3"/>
    <mergeCell ref="C36:D36"/>
    <mergeCell ref="E4:F4"/>
    <mergeCell ref="E5:F5"/>
    <mergeCell ref="E6:F6"/>
    <mergeCell ref="E7:F7"/>
    <mergeCell ref="E8:F8"/>
    <mergeCell ref="E9:F9"/>
    <mergeCell ref="E20:F20"/>
    <mergeCell ref="E21:F21"/>
    <mergeCell ref="E22:F22"/>
    <mergeCell ref="E23:F23"/>
    <mergeCell ref="E24:F24"/>
    <mergeCell ref="E25:F25"/>
    <mergeCell ref="E14:F14"/>
    <mergeCell ref="E15:F15"/>
    <mergeCell ref="E16:F16"/>
    <mergeCell ref="E17:F17"/>
    <mergeCell ref="E18:F18"/>
    <mergeCell ref="G40:H40"/>
    <mergeCell ref="E26:F26"/>
    <mergeCell ref="E27:F27"/>
    <mergeCell ref="E28:F28"/>
    <mergeCell ref="E29:F29"/>
    <mergeCell ref="E30:F30"/>
    <mergeCell ref="E31:F31"/>
    <mergeCell ref="E32:F32"/>
    <mergeCell ref="E33:F33"/>
    <mergeCell ref="E34:F34"/>
    <mergeCell ref="E19:F19"/>
  </mergeCells>
  <dataValidations count="3">
    <dataValidation type="list" allowBlank="1" showInputMessage="1" showErrorMessage="1" errorTitle="Fehler" error="Sie müssen einen Eintrag aus der Liste wählen." promptTitle="Sichtebene" prompt="Wählen Sie die vom entferntesten Punkt aus in einer Höhe von 1.2 Meter (sitzende Tätigkeit) bzw. 1.7 Meter (stehende Tätigkeit) beim Blick durchs Fenster sichtbaren Ebenen." sqref="F33 E34 E5 F5 E6 F6 E7 F7 E8 F8 E9 F9 E10 F10 E11 F11 E12 F12 E13 F13 E14 F14 E15 F15 E16 F16 E17 F17 E18 F18 E19 F19 E20 F20 E21 F21 E22 F22 E23 F23 E24 F24 E25 F25 E26 F26 E27 F27 E28 F28 E29 F29 E30 F30 E31 F31 E32 F32 E33 F34" xr:uid="{00000000-0002-0000-0300-000000000000}">
      <formula1>ListAussicht</formula1>
    </dataValidation>
    <dataValidation type="decimal" allowBlank="1" showInputMessage="1" showErrorMessage="1" errorTitle="Fehler" error="Sie müssen Werte zwischen 0 und 999 eingeben." promptTitle="Tiefe genutzter Bereich" prompt="Geben Sie die Tiefe der von Personen dauernd genutzten Bereiche (gemessen ab Fassade) ein." sqref="C32 C33 C5 C6 C7 C8 C9 C10 C11 C12 C13 C14 C15 C16 C17 C18 C19 C20 C21 C22 C23 C24 C25 C26 C27 C28 C29 C30 C31 C34" xr:uid="{00000000-0002-0000-0300-000001000000}">
      <formula1>0</formula1>
      <formula2>999</formula2>
    </dataValidation>
    <dataValidation type="whole" allowBlank="1" showInputMessage="1" showErrorMessage="1" errorTitle="Fehler" error="Sie müssen ganzzahlige Werte zwischen 0 und 9999 eingeben." promptTitle="Sichtweite" prompt="Geben Sie den Abstand zum nächsten Objekt (gemessen ab Fassade) ein." sqref="D32 D33 D5 D6 D7 D8 D9 D10 D11 D12 D13 D14 D15 D16 D17 D18 D19 D20 D21 D22 D23 D24 D25 D26 D27 D28 D29 D30 D31 D34" xr:uid="{00000000-0002-0000-0300-000002000000}">
      <formula1>0</formula1>
      <formula2>9999</formula2>
    </dataValidation>
  </dataValidations>
  <pageMargins left="0.55118110236220474" right="0.55118110236220474" top="0.43307086614173229" bottom="0" header="0.51181102362204722" footer="0.27559055118110237"/>
  <pageSetup paperSize="9" scale="75" orientation="landscape" r:id="rId1"/>
  <headerFooter>
    <oddHeader>&amp;R&amp;G</oddHeader>
    <oddFooter>&amp;L&amp;10&amp;F&amp;R&amp;10&amp;P von &amp;N</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theme="5" tint="0.39997558519241921"/>
    <pageSetUpPr fitToPage="1"/>
  </sheetPr>
  <dimension ref="A1:M89"/>
  <sheetViews>
    <sheetView showGridLines="0" tabSelected="1" zoomScaleNormal="100" workbookViewId="0">
      <selection activeCell="E7" sqref="E7"/>
    </sheetView>
  </sheetViews>
  <sheetFormatPr baseColWidth="10" defaultColWidth="11.5546875" defaultRowHeight="15" x14ac:dyDescent="0.2"/>
  <cols>
    <col min="1" max="3" width="25.77734375" style="3" customWidth="1"/>
    <col min="4" max="4" width="15.5546875" style="3" customWidth="1"/>
    <col min="5" max="5" width="20.21875" style="3" customWidth="1"/>
    <col min="6" max="6" width="12.33203125" style="3" hidden="1" customWidth="1"/>
    <col min="7" max="7" width="16.109375" style="3" customWidth="1"/>
    <col min="8" max="13" width="7.33203125" style="3" customWidth="1"/>
    <col min="14" max="16384" width="11.5546875" style="3"/>
  </cols>
  <sheetData>
    <row r="1" spans="1:13" ht="28.5" customHeight="1" x14ac:dyDescent="0.4">
      <c r="A1" s="123" t="str">
        <f>IF(Projektbez="","",Projektbez&amp;" - ")&amp;VLOOKUP(ADDRESS(ROW(),COLUMN(),4),MatrixTexteT4,2,FALSE)</f>
        <v>Fragenkatalog für Modernisierungen</v>
      </c>
      <c r="B1" s="124"/>
      <c r="C1" s="124"/>
      <c r="D1" s="124"/>
      <c r="E1" s="5"/>
      <c r="F1" s="5"/>
      <c r="G1" s="5"/>
      <c r="H1" s="5"/>
      <c r="I1" s="5"/>
      <c r="J1" s="5"/>
      <c r="K1" s="5"/>
      <c r="L1" s="5"/>
      <c r="M1" s="5"/>
    </row>
    <row r="2" spans="1:13" ht="9" customHeight="1" x14ac:dyDescent="0.2"/>
    <row r="3" spans="1:13" ht="18.75" customHeight="1" x14ac:dyDescent="0.25">
      <c r="A3" s="69" t="str">
        <f>VLOOKUP(ADDRESS(ROW(),COLUMN(),4),MatrixTexteT4,2,FALSE)</f>
        <v>Fragen</v>
      </c>
      <c r="B3" s="73"/>
      <c r="C3" s="73"/>
      <c r="D3" s="73"/>
      <c r="E3" s="69" t="str">
        <f>VLOOKUP(ADDRESS(ROW(),COLUMN(),4),MatrixTexteT4,2,FALSE)</f>
        <v>Antwort</v>
      </c>
      <c r="F3" s="7"/>
      <c r="G3" s="7"/>
      <c r="H3" s="7"/>
      <c r="I3" s="7"/>
      <c r="J3" s="7"/>
      <c r="K3" s="7"/>
    </row>
    <row r="4" spans="1:13" s="4" customFormat="1" ht="3.75" customHeight="1" x14ac:dyDescent="0.2">
      <c r="A4" s="37"/>
      <c r="B4" s="37"/>
      <c r="C4" s="37"/>
      <c r="D4" s="37"/>
      <c r="E4" s="37"/>
      <c r="F4" s="2"/>
    </row>
    <row r="5" spans="1:13" s="4" customFormat="1" ht="16.5" customHeight="1" x14ac:dyDescent="0.2">
      <c r="A5" s="91" t="str">
        <f>VLOOKUP(ADDRESS(ROW(),COLUMN(),4),MatrixTexteT4,2,FALSE)</f>
        <v>Werden die Fensteröffnungen grundsätzlich beibehalten oder vergrössert?</v>
      </c>
      <c r="B5" s="76"/>
      <c r="C5" s="76"/>
      <c r="D5" s="77"/>
      <c r="E5" s="78"/>
      <c r="F5" s="2"/>
    </row>
    <row r="6" spans="1:13" s="4" customFormat="1" ht="3.75" customHeight="1" x14ac:dyDescent="0.2">
      <c r="A6" s="38"/>
      <c r="B6" s="38"/>
      <c r="C6" s="38"/>
      <c r="D6" s="86"/>
      <c r="E6" s="87"/>
      <c r="F6" s="2"/>
    </row>
    <row r="7" spans="1:13" s="4" customFormat="1" ht="16.5" customHeight="1" x14ac:dyDescent="0.2">
      <c r="A7" s="91" t="str">
        <f>VLOOKUP(ADDRESS(ROW(),COLUMN(),4),MatrixTexteT4,2,FALSE)</f>
        <v>Werden die Glasflächen grundsätzlich beibehalten oder vergrössert?</v>
      </c>
      <c r="B7" s="76"/>
      <c r="C7" s="76"/>
      <c r="D7" s="77"/>
      <c r="E7" s="78"/>
      <c r="F7" s="2"/>
    </row>
    <row r="8" spans="1:13" s="4" customFormat="1" ht="3.75" customHeight="1" x14ac:dyDescent="0.2">
      <c r="A8" s="38"/>
      <c r="B8" s="38"/>
      <c r="C8" s="38"/>
      <c r="D8" s="86"/>
      <c r="E8" s="87"/>
      <c r="F8" s="2"/>
    </row>
    <row r="9" spans="1:13" s="4" customFormat="1" ht="16.5" customHeight="1" x14ac:dyDescent="0.2">
      <c r="A9" s="91" t="str">
        <f>VLOOKUP(ADDRESS(ROW(),COLUMN(),4),MatrixTexteT4,2,FALSE)</f>
        <v>Wurde bei der Wahl der Verglasung auf einen hohen Transmissionswert geachtet?</v>
      </c>
      <c r="B9" s="76"/>
      <c r="C9" s="76"/>
      <c r="D9" s="77"/>
      <c r="E9" s="78"/>
      <c r="F9" s="2"/>
    </row>
    <row r="10" spans="1:13" s="4" customFormat="1" ht="3.75" customHeight="1" x14ac:dyDescent="0.2">
      <c r="A10" s="38"/>
      <c r="B10" s="38"/>
      <c r="C10" s="38"/>
      <c r="D10" s="86"/>
      <c r="E10" s="87"/>
      <c r="F10" s="2"/>
      <c r="H10" s="8"/>
      <c r="J10" s="8"/>
    </row>
    <row r="11" spans="1:13" s="4" customFormat="1" ht="16.5" customHeight="1" x14ac:dyDescent="0.2">
      <c r="A11" s="91" t="str">
        <f>VLOOKUP(ADDRESS(ROW(),COLUMN(),4),MatrixTexteT4,2,FALSE)</f>
        <v>Werden keine Elemente (z.B. Balkone, Vordächer) an die Fassade gebaut, welche den Tageslichteinfall verschlechtert?</v>
      </c>
      <c r="B11" s="76"/>
      <c r="C11" s="76"/>
      <c r="D11" s="77"/>
      <c r="E11" s="78"/>
      <c r="F11" s="2"/>
      <c r="H11" s="11"/>
      <c r="J11" s="9"/>
    </row>
    <row r="12" spans="1:13" s="4" customFormat="1" ht="3.75" customHeight="1" x14ac:dyDescent="0.2">
      <c r="A12" s="74"/>
      <c r="B12" s="74"/>
      <c r="C12" s="74"/>
      <c r="D12" s="75"/>
      <c r="E12" s="87"/>
      <c r="F12" s="2"/>
      <c r="H12" s="12"/>
      <c r="J12" s="10"/>
    </row>
    <row r="13" spans="1:13" s="4" customFormat="1" ht="16.5" customHeight="1" x14ac:dyDescent="0.2">
      <c r="A13" s="91" t="str">
        <f>VLOOKUP(ADDRESS(ROW(),COLUMN(),4),MatrixTexteT4,2,FALSE)</f>
        <v>Wurden die Räume grundsätzlich (mind. Decken und Wände) mit heller Farben gestrichen?</v>
      </c>
      <c r="B13" s="76"/>
      <c r="C13" s="76"/>
      <c r="D13" s="77"/>
      <c r="E13" s="78"/>
      <c r="F13" s="2"/>
      <c r="H13" s="16"/>
    </row>
    <row r="14" spans="1:13" s="4" customFormat="1" ht="3.75" customHeight="1" x14ac:dyDescent="0.2">
      <c r="A14" s="74"/>
      <c r="B14" s="74"/>
      <c r="C14" s="74"/>
      <c r="D14" s="75"/>
      <c r="E14" s="88"/>
      <c r="F14" s="2"/>
      <c r="H14" s="16"/>
    </row>
    <row r="15" spans="1:13" s="4" customFormat="1" ht="6" customHeight="1" x14ac:dyDescent="0.2">
      <c r="A15" s="74"/>
      <c r="B15" s="74"/>
      <c r="C15" s="74"/>
      <c r="D15" s="75"/>
      <c r="E15" s="75"/>
      <c r="F15" s="2"/>
      <c r="H15" s="16"/>
    </row>
    <row r="16" spans="1:13" s="4" customFormat="1" ht="3.75" customHeight="1" x14ac:dyDescent="0.2">
      <c r="A16" s="37"/>
      <c r="B16" s="37"/>
      <c r="C16" s="37"/>
      <c r="D16" s="37"/>
      <c r="E16" s="89"/>
      <c r="F16" s="2"/>
    </row>
    <row r="17" spans="1:6" s="4" customFormat="1" ht="18.75" customHeight="1" x14ac:dyDescent="0.25">
      <c r="A17" s="69" t="str">
        <f>VLOOKUP(ADDRESS(ROW(),COLUMN(),4),MatrixTexteT4,2,FALSE)</f>
        <v>Zusammenfassung</v>
      </c>
      <c r="B17" s="36"/>
      <c r="C17" s="36"/>
      <c r="D17" s="36"/>
      <c r="E17" s="36"/>
      <c r="F17" s="20"/>
    </row>
    <row r="18" spans="1:6" s="4" customFormat="1" ht="5.25" customHeight="1" x14ac:dyDescent="0.2">
      <c r="A18" s="37"/>
      <c r="B18" s="37"/>
      <c r="C18" s="37"/>
      <c r="D18" s="37"/>
      <c r="E18" s="89"/>
      <c r="F18" s="2"/>
    </row>
    <row r="19" spans="1:6" s="4" customFormat="1" ht="27.75" customHeight="1" x14ac:dyDescent="0.2">
      <c r="A19" s="270" t="str">
        <f>IF(Typ=Constants!$B$17,Texte!$B$134,IF(AND(E5=Ja,E7=Ja,E9=Ja,E11=Ja,E13=Ja),Texte!$B$135,Texte!$B$136))</f>
        <v xml:space="preserve">                                                                  DIESES ARBEITSBLATT IST NUR BEI MODERNISIERUNGSPROJEKTEN AUSZUFÜLLEN</v>
      </c>
      <c r="B19" s="270"/>
      <c r="C19" s="270"/>
      <c r="D19" s="270"/>
      <c r="E19" s="270"/>
      <c r="F19" s="13"/>
    </row>
    <row r="20" spans="1:6" s="4" customFormat="1" ht="10.5" customHeight="1" x14ac:dyDescent="0.2">
      <c r="A20" s="37"/>
      <c r="B20" s="37"/>
      <c r="C20" s="37"/>
      <c r="D20" s="37"/>
      <c r="E20" s="89"/>
      <c r="F20" s="2"/>
    </row>
    <row r="21" spans="1:6" s="4" customFormat="1" ht="18.75" customHeight="1" x14ac:dyDescent="0.25">
      <c r="A21" s="69" t="str">
        <f>VLOOKUP(ADDRESS(ROW(),COLUMN(),4),MatrixTexteT4,2,FALSE)</f>
        <v>Gebäudekategorie (Auswahl durch Anklicken der entsprechenden Schaltfläche)</v>
      </c>
      <c r="B21" s="36"/>
      <c r="C21" s="36"/>
      <c r="D21" s="36"/>
      <c r="E21" s="36"/>
      <c r="F21" s="20"/>
    </row>
    <row r="22" spans="1:6" s="4" customFormat="1" ht="9" customHeight="1" x14ac:dyDescent="0.25">
      <c r="A22" s="90"/>
      <c r="B22" s="90"/>
      <c r="C22" s="90"/>
      <c r="D22" s="90"/>
      <c r="E22" s="90"/>
      <c r="F22" s="20"/>
    </row>
    <row r="23" spans="1:6" s="4" customFormat="1" ht="23.25" customHeight="1" x14ac:dyDescent="0.25">
      <c r="A23" s="195" t="str">
        <f>VLOOKUP(ADDRESS(ROW(),COLUMN(),4),MatrixTexteT4,2,FALSE)</f>
        <v>Wohnen</v>
      </c>
      <c r="B23" s="196" t="str">
        <f>VLOOKUP(ADDRESS(ROW(),COLUMN(),4),MatrixTexteT4,2,FALSE)</f>
        <v>Verwaltung</v>
      </c>
      <c r="C23" s="196" t="str">
        <f>VLOOKUP(ADDRESS(ROW(),COLUMN(),4),MatrixTexteT4,2,FALSE)</f>
        <v>Schule</v>
      </c>
      <c r="D23" s="271"/>
      <c r="E23" s="272"/>
      <c r="F23" s="20"/>
    </row>
    <row r="24" spans="1:6" s="4" customFormat="1" ht="6" customHeight="1" x14ac:dyDescent="0.2">
      <c r="A24" s="83"/>
      <c r="B24" s="84"/>
      <c r="C24" s="84"/>
      <c r="D24" s="85"/>
      <c r="E24" s="183"/>
      <c r="F24" s="2"/>
    </row>
    <row r="25" spans="1:6" s="6" customFormat="1" ht="87" customHeight="1" x14ac:dyDescent="0.2">
      <c r="A25" s="79" t="b">
        <f>IF($F$25=8,TRUE,FALSE)</f>
        <v>1</v>
      </c>
      <c r="B25" s="80" t="b">
        <f>IF($F$25=9,TRUE,FALSE)</f>
        <v>0</v>
      </c>
      <c r="C25" s="80" t="b">
        <f>IF($F$25=1,TRUE,FALSE)</f>
        <v>0</v>
      </c>
      <c r="D25" s="268" t="str">
        <f>VLOOKUP(ADDRESS(ROW(),COLUMN(),4),MatrixTexteT4,2,FALSE)</f>
        <v>Gebäude mit einem eher kleinen Anteil Fenster- an Fassadenfläche</v>
      </c>
      <c r="E25" s="269"/>
      <c r="F25" s="25">
        <v>8</v>
      </c>
    </row>
    <row r="26" spans="1:6" s="6" customFormat="1" ht="6.75" customHeight="1" x14ac:dyDescent="0.2">
      <c r="A26" s="81"/>
      <c r="B26" s="82"/>
      <c r="C26" s="82"/>
      <c r="D26" s="197"/>
      <c r="E26" s="198"/>
      <c r="F26" s="22"/>
    </row>
    <row r="27" spans="1:6" s="6" customFormat="1" ht="87" customHeight="1" x14ac:dyDescent="0.2">
      <c r="A27" s="79" t="b">
        <f>IF($F$25=7,TRUE,FALSE)</f>
        <v>0</v>
      </c>
      <c r="B27" s="80" t="b">
        <f>IF($F$25=6,TRUE,FALSE)</f>
        <v>0</v>
      </c>
      <c r="C27" s="80" t="b">
        <f>IF($F$25=2,TRUE,FALSE)</f>
        <v>0</v>
      </c>
      <c r="D27" s="268" t="str">
        <f>VLOOKUP(ADDRESS(ROW(),COLUMN(),4),MatrixTexteT4,2,FALSE)</f>
        <v>Gebäude mit einem mittleren Anteil Fenster- an Fassadenfläche</v>
      </c>
      <c r="E27" s="269"/>
      <c r="F27" s="23"/>
    </row>
    <row r="28" spans="1:6" s="6" customFormat="1" ht="6.75" customHeight="1" x14ac:dyDescent="0.2">
      <c r="A28" s="81"/>
      <c r="B28" s="82"/>
      <c r="C28" s="82"/>
      <c r="D28" s="197"/>
      <c r="E28" s="198"/>
      <c r="F28" s="22"/>
    </row>
    <row r="29" spans="1:6" s="6" customFormat="1" ht="87" customHeight="1" x14ac:dyDescent="0.2">
      <c r="A29" s="79" t="b">
        <f>IF($F$25=5,TRUE,FALSE)</f>
        <v>0</v>
      </c>
      <c r="B29" s="80" t="b">
        <f>IF($F$25=4,TRUE,FALSE)</f>
        <v>0</v>
      </c>
      <c r="C29" s="80" t="b">
        <f>IF($F$25=3,TRUE,FALSE)</f>
        <v>0</v>
      </c>
      <c r="D29" s="268" t="str">
        <f>VLOOKUP(ADDRESS(ROW(),COLUMN(),4),MatrixTexteT4,2,FALSE)</f>
        <v>Gebäude mit einem grossen Anteil Fenster- an Fassadenfläche</v>
      </c>
      <c r="E29" s="269"/>
      <c r="F29" s="23"/>
    </row>
    <row r="30" spans="1:6" s="6" customFormat="1" ht="6" customHeight="1" x14ac:dyDescent="0.2">
      <c r="A30" s="37"/>
      <c r="B30" s="37"/>
      <c r="C30" s="37"/>
      <c r="D30" s="37"/>
      <c r="E30" s="89"/>
      <c r="F30" s="23"/>
    </row>
    <row r="31" spans="1:6" s="2" customFormat="1" x14ac:dyDescent="0.2">
      <c r="A31" s="37"/>
      <c r="B31" s="37"/>
      <c r="C31" s="37"/>
      <c r="D31" s="37"/>
      <c r="E31" s="37"/>
    </row>
    <row r="32" spans="1:6" s="1" customFormat="1" ht="12.75" x14ac:dyDescent="0.2"/>
    <row r="33" s="1" customFormat="1" ht="12.75" x14ac:dyDescent="0.2"/>
    <row r="34" s="1" customFormat="1" ht="12.75" x14ac:dyDescent="0.2"/>
    <row r="35" s="1" customFormat="1" ht="12.75" x14ac:dyDescent="0.2"/>
    <row r="36" s="1" customFormat="1" ht="12.75" x14ac:dyDescent="0.2"/>
    <row r="37" s="1" customFormat="1" ht="12.75" x14ac:dyDescent="0.2"/>
    <row r="38" s="1" customFormat="1" ht="12.75" x14ac:dyDescent="0.2"/>
    <row r="39" s="1" customFormat="1" ht="12.75" x14ac:dyDescent="0.2"/>
    <row r="40" s="1" customFormat="1" ht="12.75" x14ac:dyDescent="0.2"/>
    <row r="41" s="1" customFormat="1" ht="12.75" x14ac:dyDescent="0.2"/>
    <row r="42" s="1" customFormat="1" ht="12.75" x14ac:dyDescent="0.2"/>
    <row r="43" s="1" customFormat="1" ht="12.75" x14ac:dyDescent="0.2"/>
    <row r="44" s="1" customFormat="1" ht="12.75" x14ac:dyDescent="0.2"/>
    <row r="45" s="1" customFormat="1" ht="12.75" x14ac:dyDescent="0.2"/>
    <row r="46" s="1" customFormat="1" ht="12.75" x14ac:dyDescent="0.2"/>
    <row r="89" spans="1:4" x14ac:dyDescent="0.2">
      <c r="A89" s="15">
        <v>5</v>
      </c>
      <c r="B89" s="15"/>
      <c r="C89" s="15"/>
      <c r="D89" s="15"/>
    </row>
  </sheetData>
  <sheetProtection algorithmName="SHA-512" hashValue="+skbujNZ17n9pKQnpgbkMed9OZXNC1A1BzDQKEqS499tJYvPIzrpqI/0Kp/jsmW4AGxlY9Arrjh2WvL1EMuZ4Q==" saltValue="DXVaKVZnY+YZUgxELkYmgw==" spinCount="100000" sheet="1" objects="1" scenarios="1" selectLockedCells="1"/>
  <mergeCells count="5">
    <mergeCell ref="D25:E25"/>
    <mergeCell ref="D27:E27"/>
    <mergeCell ref="D29:E29"/>
    <mergeCell ref="A19:E19"/>
    <mergeCell ref="D23:E23"/>
  </mergeCells>
  <phoneticPr fontId="0" type="noConversion"/>
  <conditionalFormatting sqref="A25:C29">
    <cfRule type="cellIs" dxfId="6" priority="2" stopIfTrue="1" operator="equal">
      <formula>TRUE</formula>
    </cfRule>
  </conditionalFormatting>
  <conditionalFormatting sqref="B23">
    <cfRule type="expression" dxfId="5" priority="3" stopIfTrue="1">
      <formula>OR($B$25=TRUE,$B$27=TRUE,$B$29=TRUE)</formula>
    </cfRule>
  </conditionalFormatting>
  <conditionalFormatting sqref="A23">
    <cfRule type="expression" dxfId="4" priority="4" stopIfTrue="1">
      <formula>OR($A$25=TRUE,$A$27=TRUE,$A$29=TRUE)</formula>
    </cfRule>
  </conditionalFormatting>
  <conditionalFormatting sqref="C23">
    <cfRule type="expression" dxfId="3" priority="5" stopIfTrue="1">
      <formula>OR($C$25=TRUE,$C$27=TRUE,$C$29=TRUE)</formula>
    </cfRule>
  </conditionalFormatting>
  <conditionalFormatting sqref="D25:E25">
    <cfRule type="expression" dxfId="2" priority="6" stopIfTrue="1">
      <formula>OR($A$25=TRUE,$B$25=TRUE,$C$25=TRUE)</formula>
    </cfRule>
  </conditionalFormatting>
  <conditionalFormatting sqref="D27:E27">
    <cfRule type="expression" dxfId="1" priority="7" stopIfTrue="1">
      <formula>OR($A$27=TRUE,$B$27=TRUE,$C$27=TRUE)</formula>
    </cfRule>
  </conditionalFormatting>
  <conditionalFormatting sqref="D29:E29">
    <cfRule type="expression" dxfId="0" priority="8" stopIfTrue="1">
      <formula>OR($A$29=TRUE,$B$29=TRUE,$C$29=TRUE)</formula>
    </cfRule>
  </conditionalFormatting>
  <dataValidations count="1">
    <dataValidation type="list" allowBlank="1" showInputMessage="1" showErrorMessage="1" sqref="E7 E5 E9 E11 E13:E14" xr:uid="{00000000-0002-0000-0400-000000000000}">
      <formula1>JaNein</formula1>
    </dataValidation>
  </dataValidations>
  <printOptions horizontalCentered="1"/>
  <pageMargins left="0.59055118110236227" right="0.59055118110236227" top="0.43307086614173229" bottom="0.39370078740157483" header="0.51181102362204722" footer="0.27559055118110237"/>
  <pageSetup paperSize="9" scale="95" orientation="landscape" horizontalDpi="4294967292" verticalDpi="300" r:id="rId1"/>
  <headerFooter alignWithMargins="0">
    <oddHeader>&amp;R&amp;G</oddHeader>
    <oddFooter>&amp;L&amp;10&amp;F&amp;R&amp;10&amp;P von &amp;N</oddFooter>
  </headerFooter>
  <ignoredErrors>
    <ignoredError sqref="A29:C29 A27:C27 A25:C25"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9112" r:id="rId5" name="Option Button 200">
              <controlPr defaultSize="0" autoFill="0" autoLine="0" autoPict="0">
                <anchor moveWithCells="1">
                  <from>
                    <xdr:col>2</xdr:col>
                    <xdr:colOff>9525</xdr:colOff>
                    <xdr:row>24</xdr:row>
                    <xdr:rowOff>400050</xdr:rowOff>
                  </from>
                  <to>
                    <xdr:col>2</xdr:col>
                    <xdr:colOff>314325</xdr:colOff>
                    <xdr:row>24</xdr:row>
                    <xdr:rowOff>619125</xdr:rowOff>
                  </to>
                </anchor>
              </controlPr>
            </control>
          </mc:Choice>
        </mc:AlternateContent>
        <mc:AlternateContent xmlns:mc="http://schemas.openxmlformats.org/markup-compatibility/2006">
          <mc:Choice Requires="x14">
            <control shapeId="39114" r:id="rId6" name="Option Button 202">
              <controlPr defaultSize="0" autoFill="0" autoLine="0" autoPict="0">
                <anchor moveWithCells="1">
                  <from>
                    <xdr:col>2</xdr:col>
                    <xdr:colOff>28575</xdr:colOff>
                    <xdr:row>26</xdr:row>
                    <xdr:rowOff>419100</xdr:rowOff>
                  </from>
                  <to>
                    <xdr:col>2</xdr:col>
                    <xdr:colOff>333375</xdr:colOff>
                    <xdr:row>26</xdr:row>
                    <xdr:rowOff>638175</xdr:rowOff>
                  </to>
                </anchor>
              </controlPr>
            </control>
          </mc:Choice>
        </mc:AlternateContent>
        <mc:AlternateContent xmlns:mc="http://schemas.openxmlformats.org/markup-compatibility/2006">
          <mc:Choice Requires="x14">
            <control shapeId="39115" r:id="rId7" name="Option Button 203">
              <controlPr defaultSize="0" autoFill="0" autoLine="0" autoPict="0">
                <anchor moveWithCells="1">
                  <from>
                    <xdr:col>2</xdr:col>
                    <xdr:colOff>9525</xdr:colOff>
                    <xdr:row>28</xdr:row>
                    <xdr:rowOff>447675</xdr:rowOff>
                  </from>
                  <to>
                    <xdr:col>2</xdr:col>
                    <xdr:colOff>314325</xdr:colOff>
                    <xdr:row>28</xdr:row>
                    <xdr:rowOff>666750</xdr:rowOff>
                  </to>
                </anchor>
              </controlPr>
            </control>
          </mc:Choice>
        </mc:AlternateContent>
        <mc:AlternateContent xmlns:mc="http://schemas.openxmlformats.org/markup-compatibility/2006">
          <mc:Choice Requires="x14">
            <control shapeId="39116" r:id="rId8" name="Option Button 204">
              <controlPr defaultSize="0" autoFill="0" autoLine="0" autoPict="0">
                <anchor moveWithCells="1">
                  <from>
                    <xdr:col>1</xdr:col>
                    <xdr:colOff>9525</xdr:colOff>
                    <xdr:row>28</xdr:row>
                    <xdr:rowOff>428625</xdr:rowOff>
                  </from>
                  <to>
                    <xdr:col>1</xdr:col>
                    <xdr:colOff>314325</xdr:colOff>
                    <xdr:row>28</xdr:row>
                    <xdr:rowOff>647700</xdr:rowOff>
                  </to>
                </anchor>
              </controlPr>
            </control>
          </mc:Choice>
        </mc:AlternateContent>
        <mc:AlternateContent xmlns:mc="http://schemas.openxmlformats.org/markup-compatibility/2006">
          <mc:Choice Requires="x14">
            <control shapeId="39117" r:id="rId9" name="Option Button 205">
              <controlPr defaultSize="0" autoFill="0" autoLine="0" autoPict="0">
                <anchor moveWithCells="1">
                  <from>
                    <xdr:col>0</xdr:col>
                    <xdr:colOff>0</xdr:colOff>
                    <xdr:row>28</xdr:row>
                    <xdr:rowOff>419100</xdr:rowOff>
                  </from>
                  <to>
                    <xdr:col>0</xdr:col>
                    <xdr:colOff>304800</xdr:colOff>
                    <xdr:row>28</xdr:row>
                    <xdr:rowOff>638175</xdr:rowOff>
                  </to>
                </anchor>
              </controlPr>
            </control>
          </mc:Choice>
        </mc:AlternateContent>
        <mc:AlternateContent xmlns:mc="http://schemas.openxmlformats.org/markup-compatibility/2006">
          <mc:Choice Requires="x14">
            <control shapeId="39118" r:id="rId10" name="Option Button 206">
              <controlPr defaultSize="0" autoFill="0" autoLine="0" autoPict="0">
                <anchor moveWithCells="1">
                  <from>
                    <xdr:col>1</xdr:col>
                    <xdr:colOff>9525</xdr:colOff>
                    <xdr:row>26</xdr:row>
                    <xdr:rowOff>428625</xdr:rowOff>
                  </from>
                  <to>
                    <xdr:col>1</xdr:col>
                    <xdr:colOff>314325</xdr:colOff>
                    <xdr:row>26</xdr:row>
                    <xdr:rowOff>647700</xdr:rowOff>
                  </to>
                </anchor>
              </controlPr>
            </control>
          </mc:Choice>
        </mc:AlternateContent>
        <mc:AlternateContent xmlns:mc="http://schemas.openxmlformats.org/markup-compatibility/2006">
          <mc:Choice Requires="x14">
            <control shapeId="39119" r:id="rId11" name="Option Button 207">
              <controlPr defaultSize="0" autoFill="0" autoLine="0" autoPict="0">
                <anchor moveWithCells="1">
                  <from>
                    <xdr:col>0</xdr:col>
                    <xdr:colOff>0</xdr:colOff>
                    <xdr:row>26</xdr:row>
                    <xdr:rowOff>428625</xdr:rowOff>
                  </from>
                  <to>
                    <xdr:col>0</xdr:col>
                    <xdr:colOff>304800</xdr:colOff>
                    <xdr:row>26</xdr:row>
                    <xdr:rowOff>647700</xdr:rowOff>
                  </to>
                </anchor>
              </controlPr>
            </control>
          </mc:Choice>
        </mc:AlternateContent>
        <mc:AlternateContent xmlns:mc="http://schemas.openxmlformats.org/markup-compatibility/2006">
          <mc:Choice Requires="x14">
            <control shapeId="39120" r:id="rId12" name="Option Button 208">
              <controlPr defaultSize="0" autoFill="0" autoLine="0" autoPict="0">
                <anchor moveWithCells="1">
                  <from>
                    <xdr:col>0</xdr:col>
                    <xdr:colOff>0</xdr:colOff>
                    <xdr:row>24</xdr:row>
                    <xdr:rowOff>438150</xdr:rowOff>
                  </from>
                  <to>
                    <xdr:col>0</xdr:col>
                    <xdr:colOff>304800</xdr:colOff>
                    <xdr:row>24</xdr:row>
                    <xdr:rowOff>657225</xdr:rowOff>
                  </to>
                </anchor>
              </controlPr>
            </control>
          </mc:Choice>
        </mc:AlternateContent>
        <mc:AlternateContent xmlns:mc="http://schemas.openxmlformats.org/markup-compatibility/2006">
          <mc:Choice Requires="x14">
            <control shapeId="39121" r:id="rId13" name="Option Button 209">
              <controlPr defaultSize="0" autoFill="0" autoLine="0" autoPict="0">
                <anchor moveWithCells="1">
                  <from>
                    <xdr:col>1</xdr:col>
                    <xdr:colOff>0</xdr:colOff>
                    <xdr:row>24</xdr:row>
                    <xdr:rowOff>457200</xdr:rowOff>
                  </from>
                  <to>
                    <xdr:col>1</xdr:col>
                    <xdr:colOff>304800</xdr:colOff>
                    <xdr:row>24</xdr:row>
                    <xdr:rowOff>676275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dimension ref="A1:E99"/>
  <sheetViews>
    <sheetView zoomScale="90" zoomScaleNormal="90" workbookViewId="0">
      <selection activeCell="B14" sqref="B14"/>
    </sheetView>
  </sheetViews>
  <sheetFormatPr baseColWidth="10" defaultColWidth="11.5546875" defaultRowHeight="12" x14ac:dyDescent="0.2"/>
  <cols>
    <col min="1" max="1" width="17.77734375" style="19" customWidth="1"/>
    <col min="2" max="2" width="20.6640625" style="19" customWidth="1"/>
    <col min="3" max="3" width="11.6640625" style="19" customWidth="1"/>
    <col min="4" max="4" width="14.77734375" style="19" customWidth="1"/>
    <col min="5" max="5" width="17.109375" style="19" customWidth="1"/>
    <col min="6" max="6" width="12.44140625" style="19" bestFit="1" customWidth="1"/>
    <col min="7" max="7" width="31.88671875" style="19" bestFit="1" customWidth="1"/>
    <col min="8" max="8" width="12.6640625" style="19" customWidth="1"/>
    <col min="9" max="18" width="9.5546875" style="19" customWidth="1"/>
    <col min="19" max="16384" width="11.5546875" style="19"/>
  </cols>
  <sheetData>
    <row r="1" spans="1:5" ht="23.25" x14ac:dyDescent="0.35">
      <c r="A1" s="70" t="s">
        <v>165</v>
      </c>
      <c r="B1" s="71"/>
      <c r="C1" s="71"/>
      <c r="D1" s="71"/>
      <c r="E1" s="71"/>
    </row>
    <row r="2" spans="1:5" ht="9" customHeight="1" x14ac:dyDescent="0.35">
      <c r="A2" s="70"/>
      <c r="B2" s="71"/>
      <c r="C2" s="71"/>
      <c r="D2" s="71"/>
      <c r="E2" s="71"/>
    </row>
    <row r="3" spans="1:5" ht="12.75" x14ac:dyDescent="0.2">
      <c r="A3" s="39" t="s">
        <v>42</v>
      </c>
      <c r="B3" s="39" t="s">
        <v>548</v>
      </c>
      <c r="C3" s="39" t="s">
        <v>549</v>
      </c>
      <c r="D3" s="39" t="s">
        <v>550</v>
      </c>
      <c r="E3" s="39" t="s">
        <v>551</v>
      </c>
    </row>
    <row r="5" spans="1:5" x14ac:dyDescent="0.2">
      <c r="A5" s="17" t="s">
        <v>783</v>
      </c>
      <c r="B5" s="72" t="s">
        <v>46</v>
      </c>
    </row>
    <row r="6" spans="1:5" x14ac:dyDescent="0.2">
      <c r="A6" s="17"/>
    </row>
    <row r="7" spans="1:5" x14ac:dyDescent="0.2">
      <c r="A7" s="17" t="s">
        <v>782</v>
      </c>
      <c r="B7" s="19" t="s">
        <v>1038</v>
      </c>
    </row>
    <row r="8" spans="1:5" x14ac:dyDescent="0.2">
      <c r="A8" s="17"/>
    </row>
    <row r="9" spans="1:5" ht="12.75" x14ac:dyDescent="0.2">
      <c r="A9" s="17" t="s">
        <v>234</v>
      </c>
      <c r="B9" s="1" t="str">
        <f>Texte!$B$225</f>
        <v>Ja</v>
      </c>
      <c r="D9" s="21"/>
    </row>
    <row r="10" spans="1:5" ht="12.75" x14ac:dyDescent="0.2">
      <c r="A10" s="17"/>
      <c r="B10" s="1" t="str">
        <f>Texte!$B$226</f>
        <v>Nein</v>
      </c>
      <c r="D10" s="21"/>
    </row>
    <row r="11" spans="1:5" x14ac:dyDescent="0.2">
      <c r="A11" s="17"/>
      <c r="D11" s="21"/>
    </row>
    <row r="12" spans="1:5" x14ac:dyDescent="0.2">
      <c r="A12" s="17" t="s">
        <v>619</v>
      </c>
      <c r="B12" s="19" t="str">
        <f>IF(OR(Fragenkatalog_Modernisierung!A25=TRUE,Fragenkatalog_Modernisierung!B25=TRUE,Fragenkatalog_Modernisierung!C25=TRUE),"Ja","Nein")</f>
        <v>Ja</v>
      </c>
      <c r="C12" s="21">
        <v>0.3</v>
      </c>
      <c r="D12" s="19">
        <f>IF(B12="Ja",C12,IF(B13="Ja",C13,C14))</f>
        <v>0.3</v>
      </c>
    </row>
    <row r="13" spans="1:5" x14ac:dyDescent="0.2">
      <c r="A13" s="17"/>
      <c r="B13" s="19" t="str">
        <f>IF(OR(Fragenkatalog_Modernisierung!A27=TRUE,Fragenkatalog_Modernisierung!B27=TRUE,Fragenkatalog_Modernisierung!C27=TRUE),"Ja","Nein")</f>
        <v>Nein</v>
      </c>
      <c r="C13" s="21">
        <v>0.4</v>
      </c>
      <c r="D13" s="21"/>
    </row>
    <row r="14" spans="1:5" x14ac:dyDescent="0.2">
      <c r="A14" s="17"/>
      <c r="B14" s="19" t="str">
        <f>IF(OR(Fragenkatalog_Modernisierung!A29=TRUE,Fragenkatalog_Modernisierung!B29=TRUE,Fragenkatalog_Modernisierung!C29=TRUE),"Ja","Nein")</f>
        <v>Nein</v>
      </c>
      <c r="C14" s="21">
        <v>0.5</v>
      </c>
      <c r="D14" s="21"/>
    </row>
    <row r="15" spans="1:5" x14ac:dyDescent="0.2">
      <c r="A15" s="17"/>
      <c r="D15" s="21"/>
    </row>
    <row r="16" spans="1:5" x14ac:dyDescent="0.2">
      <c r="A16" s="17"/>
    </row>
    <row r="17" spans="1:3" x14ac:dyDescent="0.2">
      <c r="A17" s="17" t="s">
        <v>231</v>
      </c>
      <c r="B17" s="19" t="str">
        <f>Texte!B219</f>
        <v>Neubau</v>
      </c>
    </row>
    <row r="18" spans="1:3" x14ac:dyDescent="0.2">
      <c r="B18" s="19" t="str">
        <f>Texte!B220</f>
        <v>Modernisierung</v>
      </c>
    </row>
    <row r="20" spans="1:3" x14ac:dyDescent="0.2">
      <c r="A20" s="17" t="s">
        <v>116</v>
      </c>
      <c r="B20" s="19" t="str">
        <f>Texte!B182</f>
        <v>Hell</v>
      </c>
      <c r="C20" s="19">
        <v>1</v>
      </c>
    </row>
    <row r="21" spans="1:3" x14ac:dyDescent="0.2">
      <c r="A21" s="17"/>
      <c r="B21" s="19" t="str">
        <f>Texte!B183</f>
        <v>Normal</v>
      </c>
      <c r="C21" s="19">
        <v>1.1000000000000001</v>
      </c>
    </row>
    <row r="22" spans="1:3" x14ac:dyDescent="0.2">
      <c r="A22" s="17"/>
      <c r="B22" s="19" t="str">
        <f>Texte!B184</f>
        <v>Dunkel</v>
      </c>
      <c r="C22" s="19">
        <v>1.5</v>
      </c>
    </row>
    <row r="23" spans="1:3" x14ac:dyDescent="0.2">
      <c r="A23" s="17"/>
    </row>
    <row r="24" spans="1:3" x14ac:dyDescent="0.2">
      <c r="A24" s="17" t="s">
        <v>73</v>
      </c>
      <c r="B24" s="19" t="str">
        <f>Texte!B186</f>
        <v>Helle Lamellen mit Umlenksystem</v>
      </c>
      <c r="C24" s="19">
        <v>1</v>
      </c>
    </row>
    <row r="25" spans="1:3" x14ac:dyDescent="0.2">
      <c r="A25" s="17"/>
      <c r="B25" s="19" t="str">
        <f>Texte!B187</f>
        <v>Helle Lamellen ohne Umlenksystem</v>
      </c>
      <c r="C25" s="19">
        <v>1.1000000000000001</v>
      </c>
    </row>
    <row r="26" spans="1:3" x14ac:dyDescent="0.2">
      <c r="A26" s="17"/>
      <c r="B26" s="19" t="str">
        <f>Texte!B188</f>
        <v>Mittelhelle Lamellen, lichtdurchlässiger Stoff</v>
      </c>
      <c r="C26" s="19">
        <v>1.2</v>
      </c>
    </row>
    <row r="27" spans="1:3" x14ac:dyDescent="0.2">
      <c r="A27" s="17"/>
      <c r="B27" s="19" t="str">
        <f>Texte!B189</f>
        <v>Dunkle Lamellen, wenig durchlässiger Stoff</v>
      </c>
      <c r="C27" s="19">
        <v>1.3</v>
      </c>
    </row>
    <row r="28" spans="1:3" x14ac:dyDescent="0.2">
      <c r="A28" s="17"/>
      <c r="B28" s="19" t="str">
        <f>Texte!B190</f>
        <v>Lichtundurchlässiger Behang</v>
      </c>
      <c r="C28" s="19">
        <v>1.4</v>
      </c>
    </row>
    <row r="29" spans="1:3" x14ac:dyDescent="0.2">
      <c r="A29" s="17"/>
    </row>
    <row r="30" spans="1:3" x14ac:dyDescent="0.2">
      <c r="A30" s="17" t="s">
        <v>107</v>
      </c>
      <c r="B30" s="19" t="str">
        <f>Texte!B192</f>
        <v>Motorbetrieben, automatisch, Lamellennachführung</v>
      </c>
      <c r="C30" s="19">
        <v>1</v>
      </c>
    </row>
    <row r="31" spans="1:3" x14ac:dyDescent="0.2">
      <c r="B31" s="19" t="str">
        <f>Texte!B193</f>
        <v>Motorbetrieben, automatisch, Berücks. Verschattung</v>
      </c>
      <c r="C31" s="19">
        <v>1.1000000000000001</v>
      </c>
    </row>
    <row r="32" spans="1:3" x14ac:dyDescent="0.2">
      <c r="B32" s="19" t="str">
        <f>Texte!B194</f>
        <v>Motorbetrieben, automatisch</v>
      </c>
      <c r="C32" s="19">
        <v>1.2</v>
      </c>
    </row>
    <row r="33" spans="1:3" x14ac:dyDescent="0.2">
      <c r="B33" s="19" t="str">
        <f>Texte!B195</f>
        <v>Motorbetrieben, manuell</v>
      </c>
      <c r="C33" s="19">
        <v>1.3</v>
      </c>
    </row>
    <row r="34" spans="1:3" x14ac:dyDescent="0.2">
      <c r="B34" s="19" t="str">
        <f>Texte!B196</f>
        <v>Manuell</v>
      </c>
      <c r="C34" s="19">
        <v>1.4</v>
      </c>
    </row>
    <row r="36" spans="1:3" x14ac:dyDescent="0.2">
      <c r="A36" s="17" t="s">
        <v>83</v>
      </c>
      <c r="B36" s="19" t="str">
        <f>Texte!B198</f>
        <v>Freie Sicht, keine oder geringe Verschattung durch Umgebung</v>
      </c>
      <c r="C36" s="19">
        <v>1</v>
      </c>
    </row>
    <row r="37" spans="1:3" x14ac:dyDescent="0.2">
      <c r="B37" s="19" t="str">
        <f>Texte!B199</f>
        <v>Mittlere Verschattung, Verbauungshöhenwinkel 15°-35°</v>
      </c>
      <c r="C37" s="19">
        <v>1.2</v>
      </c>
    </row>
    <row r="38" spans="1:3" x14ac:dyDescent="0.2">
      <c r="B38" s="19" t="str">
        <f>Texte!B200</f>
        <v>In der Stadt oder grosse Verschattung durch Umgebung</v>
      </c>
      <c r="C38" s="19">
        <v>1.4</v>
      </c>
    </row>
    <row r="40" spans="1:3" x14ac:dyDescent="0.2">
      <c r="A40" s="17" t="s">
        <v>895</v>
      </c>
      <c r="B40" s="19" t="str">
        <f>Texte!B202</f>
        <v>Nur Landschaft</v>
      </c>
      <c r="C40" s="19">
        <v>1</v>
      </c>
    </row>
    <row r="41" spans="1:3" x14ac:dyDescent="0.2">
      <c r="B41" s="19" t="str">
        <f>Texte!B203</f>
        <v>Landschaft und Boden</v>
      </c>
      <c r="C41" s="19">
        <v>2</v>
      </c>
    </row>
    <row r="42" spans="1:3" x14ac:dyDescent="0.2">
      <c r="B42" s="19" t="str">
        <f>Texte!B204</f>
        <v>Landschaft und Himmel</v>
      </c>
      <c r="C42" s="19">
        <v>2</v>
      </c>
    </row>
    <row r="43" spans="1:3" x14ac:dyDescent="0.2">
      <c r="B43" s="19" t="str">
        <f>Texte!B205</f>
        <v>Landschaft, Boden und Himmel</v>
      </c>
      <c r="C43" s="19">
        <v>3</v>
      </c>
    </row>
    <row r="44" spans="1:3" x14ac:dyDescent="0.2">
      <c r="B44" s="19" t="str">
        <f>Texte!B206</f>
        <v>Nur Boden</v>
      </c>
      <c r="C44" s="19">
        <v>0</v>
      </c>
    </row>
    <row r="45" spans="1:3" x14ac:dyDescent="0.2">
      <c r="B45" s="19" t="str">
        <f>Texte!B207</f>
        <v>Nur Himmel</v>
      </c>
      <c r="C45" s="19">
        <v>0</v>
      </c>
    </row>
    <row r="46" spans="1:3" x14ac:dyDescent="0.2">
      <c r="B46" s="19" t="str">
        <f>Texte!B208</f>
        <v>Boden und Himmel</v>
      </c>
      <c r="C46" s="19">
        <v>0</v>
      </c>
    </row>
    <row r="48" spans="1:3" x14ac:dyDescent="0.2">
      <c r="A48" s="17" t="s">
        <v>978</v>
      </c>
      <c r="B48" s="19" t="str">
        <f>Texte!B210</f>
        <v>Hoch</v>
      </c>
    </row>
    <row r="49" spans="1:5" x14ac:dyDescent="0.2">
      <c r="B49" s="19" t="str">
        <f>Texte!B211</f>
        <v>Mittel</v>
      </c>
    </row>
    <row r="50" spans="1:5" x14ac:dyDescent="0.2">
      <c r="B50" s="19" t="str">
        <f>Texte!B212</f>
        <v>Minimum</v>
      </c>
    </row>
    <row r="51" spans="1:5" x14ac:dyDescent="0.2">
      <c r="B51" s="19" t="str">
        <f>Texte!B213</f>
        <v>Ungenügend</v>
      </c>
    </row>
    <row r="54" spans="1:5" ht="13.5" x14ac:dyDescent="0.25">
      <c r="A54" s="17" t="s">
        <v>87</v>
      </c>
      <c r="B54" s="18" t="s">
        <v>88</v>
      </c>
      <c r="C54" s="18" t="s">
        <v>99</v>
      </c>
      <c r="D54" s="18" t="s">
        <v>100</v>
      </c>
      <c r="E54" s="18" t="s">
        <v>101</v>
      </c>
    </row>
    <row r="55" spans="1:5" ht="12.75" x14ac:dyDescent="0.2">
      <c r="B55" s="14" t="str">
        <f>Texte!B147</f>
        <v>Ausstellungshalle</v>
      </c>
      <c r="C55" s="19">
        <v>300</v>
      </c>
      <c r="D55" s="19">
        <v>2</v>
      </c>
      <c r="E55" s="19">
        <f t="shared" ref="E55:E88" si="0">ROUND(C55*D55,-1)</f>
        <v>600</v>
      </c>
    </row>
    <row r="56" spans="1:5" ht="12.75" x14ac:dyDescent="0.2">
      <c r="B56" s="14" t="str">
        <f>Texte!B148</f>
        <v>Behandlungsraum (Spital)</v>
      </c>
      <c r="C56" s="19">
        <v>500</v>
      </c>
      <c r="D56" s="19">
        <v>1.5</v>
      </c>
      <c r="E56" s="19">
        <f t="shared" si="0"/>
        <v>750</v>
      </c>
    </row>
    <row r="57" spans="1:5" ht="12.75" x14ac:dyDescent="0.2">
      <c r="B57" s="14" t="str">
        <f>Texte!B149</f>
        <v>Bettenzimmer (Spital)</v>
      </c>
      <c r="C57" s="19">
        <v>100</v>
      </c>
      <c r="D57" s="19">
        <v>3</v>
      </c>
      <c r="E57" s="19">
        <f t="shared" si="0"/>
        <v>300</v>
      </c>
    </row>
    <row r="58" spans="1:5" ht="12.75" x14ac:dyDescent="0.2">
      <c r="B58" s="14" t="str">
        <f>Texte!B150</f>
        <v>Bibliothek</v>
      </c>
      <c r="C58" s="19">
        <v>200</v>
      </c>
      <c r="D58" s="19">
        <v>1.5</v>
      </c>
      <c r="E58" s="19">
        <f t="shared" si="0"/>
        <v>300</v>
      </c>
    </row>
    <row r="59" spans="1:5" ht="12.75" x14ac:dyDescent="0.2">
      <c r="B59" s="14" t="str">
        <f>Texte!B151</f>
        <v>Einzel-, Gruppenbüro</v>
      </c>
      <c r="C59" s="19">
        <v>500</v>
      </c>
      <c r="D59" s="19">
        <v>1</v>
      </c>
      <c r="E59" s="19">
        <f t="shared" si="0"/>
        <v>500</v>
      </c>
    </row>
    <row r="60" spans="1:5" ht="12.75" x14ac:dyDescent="0.2">
      <c r="B60" s="14" t="str">
        <f>Texte!B152</f>
        <v>Fachgeschäft</v>
      </c>
      <c r="C60" s="19">
        <v>300</v>
      </c>
      <c r="D60" s="19">
        <v>2.5</v>
      </c>
      <c r="E60" s="19">
        <f t="shared" si="0"/>
        <v>750</v>
      </c>
    </row>
    <row r="61" spans="1:5" ht="12.75" x14ac:dyDescent="0.2">
      <c r="B61" s="14" t="str">
        <f>Texte!B153</f>
        <v>Fitnessraum</v>
      </c>
      <c r="C61" s="19">
        <v>300</v>
      </c>
      <c r="D61" s="19">
        <v>1</v>
      </c>
      <c r="E61" s="19">
        <f t="shared" si="0"/>
        <v>300</v>
      </c>
    </row>
    <row r="62" spans="1:5" ht="12.75" x14ac:dyDescent="0.2">
      <c r="B62" s="14" t="str">
        <f>Texte!B154</f>
        <v>Grossraumbüro</v>
      </c>
      <c r="C62" s="19">
        <v>500</v>
      </c>
      <c r="D62" s="19">
        <v>1</v>
      </c>
      <c r="E62" s="19">
        <f t="shared" si="0"/>
        <v>500</v>
      </c>
    </row>
    <row r="63" spans="1:5" ht="12.75" x14ac:dyDescent="0.2">
      <c r="B63" s="14" t="str">
        <f>Texte!B155</f>
        <v>Hörsaal</v>
      </c>
      <c r="C63" s="19">
        <v>500</v>
      </c>
      <c r="D63" s="19">
        <v>1</v>
      </c>
      <c r="E63" s="19">
        <f t="shared" si="0"/>
        <v>500</v>
      </c>
    </row>
    <row r="64" spans="1:5" ht="12.75" x14ac:dyDescent="0.2">
      <c r="B64" s="14" t="str">
        <f>Texte!B156</f>
        <v>Hotel-Empfang/Lobby</v>
      </c>
      <c r="C64" s="19">
        <v>100</v>
      </c>
      <c r="D64" s="19">
        <v>3</v>
      </c>
      <c r="E64" s="19">
        <f t="shared" si="0"/>
        <v>300</v>
      </c>
    </row>
    <row r="65" spans="2:5" ht="12.75" x14ac:dyDescent="0.2">
      <c r="B65" s="14" t="str">
        <f>Texte!B157</f>
        <v>Hotelzimmer</v>
      </c>
      <c r="C65" s="19">
        <v>50</v>
      </c>
      <c r="D65" s="19">
        <v>6</v>
      </c>
      <c r="E65" s="19">
        <f t="shared" si="0"/>
        <v>300</v>
      </c>
    </row>
    <row r="66" spans="2:5" ht="12.75" x14ac:dyDescent="0.2">
      <c r="B66" s="14" t="str">
        <f>Texte!B158</f>
        <v>Küche SB-Restaurant</v>
      </c>
      <c r="C66" s="19">
        <v>500</v>
      </c>
      <c r="D66" s="19">
        <v>1</v>
      </c>
      <c r="E66" s="19">
        <f t="shared" si="0"/>
        <v>500</v>
      </c>
    </row>
    <row r="67" spans="2:5" ht="12.75" x14ac:dyDescent="0.2">
      <c r="B67" s="14" t="str">
        <f>Texte!B159</f>
        <v>Küche zu Restaurant</v>
      </c>
      <c r="C67" s="19">
        <v>500</v>
      </c>
      <c r="D67" s="19">
        <v>1</v>
      </c>
      <c r="E67" s="19">
        <f t="shared" si="0"/>
        <v>500</v>
      </c>
    </row>
    <row r="68" spans="2:5" ht="12.75" x14ac:dyDescent="0.2">
      <c r="B68" s="14" t="str">
        <f>Texte!B160</f>
        <v>Küche, Teeküche</v>
      </c>
      <c r="C68" s="19">
        <v>200</v>
      </c>
      <c r="D68" s="19">
        <v>1</v>
      </c>
      <c r="E68" s="19">
        <f t="shared" si="0"/>
        <v>200</v>
      </c>
    </row>
    <row r="69" spans="2:5" ht="12.75" x14ac:dyDescent="0.2">
      <c r="B69" s="14" t="str">
        <f>Texte!B161</f>
        <v>Laborraum</v>
      </c>
      <c r="C69" s="19">
        <v>500</v>
      </c>
      <c r="D69" s="19">
        <v>1</v>
      </c>
      <c r="E69" s="19">
        <f t="shared" si="0"/>
        <v>500</v>
      </c>
    </row>
    <row r="70" spans="2:5" ht="12.75" x14ac:dyDescent="0.2">
      <c r="B70" s="14" t="str">
        <f>Texte!B162</f>
        <v>Lebensmittelverkauf</v>
      </c>
      <c r="C70" s="19">
        <v>300</v>
      </c>
      <c r="D70" s="19">
        <v>2.5</v>
      </c>
      <c r="E70" s="19">
        <f t="shared" si="0"/>
        <v>750</v>
      </c>
    </row>
    <row r="71" spans="2:5" ht="12.75" x14ac:dyDescent="0.2">
      <c r="B71" s="14" t="str">
        <f>Texte!B163</f>
        <v>Lehrerzimmer</v>
      </c>
      <c r="C71" s="19">
        <v>300</v>
      </c>
      <c r="D71" s="19">
        <v>1</v>
      </c>
      <c r="E71" s="19">
        <f t="shared" si="0"/>
        <v>300</v>
      </c>
    </row>
    <row r="72" spans="2:5" ht="12.75" x14ac:dyDescent="0.2">
      <c r="B72" s="14" t="str">
        <f>Texte!B164</f>
        <v>Mehrzweckhalle</v>
      </c>
      <c r="C72" s="19">
        <v>300</v>
      </c>
      <c r="D72" s="19">
        <v>1</v>
      </c>
      <c r="E72" s="19">
        <f t="shared" si="0"/>
        <v>300</v>
      </c>
    </row>
    <row r="73" spans="2:5" ht="12.75" x14ac:dyDescent="0.2">
      <c r="B73" s="14" t="str">
        <f>Texte!B165</f>
        <v>Produktion (feine Arbeit)</v>
      </c>
      <c r="C73" s="19">
        <v>500</v>
      </c>
      <c r="D73" s="19">
        <v>1</v>
      </c>
      <c r="E73" s="19">
        <f t="shared" si="0"/>
        <v>500</v>
      </c>
    </row>
    <row r="74" spans="2:5" ht="12.75" x14ac:dyDescent="0.2">
      <c r="B74" s="14" t="str">
        <f>Texte!B166</f>
        <v>Produktion (grobe Arbeit)</v>
      </c>
      <c r="C74" s="19">
        <v>300</v>
      </c>
      <c r="D74" s="19">
        <v>1</v>
      </c>
      <c r="E74" s="19">
        <f t="shared" si="0"/>
        <v>300</v>
      </c>
    </row>
    <row r="75" spans="2:5" ht="12.75" x14ac:dyDescent="0.2">
      <c r="B75" s="14" t="str">
        <f>Texte!B167</f>
        <v>Restaurant</v>
      </c>
      <c r="C75" s="19">
        <v>200</v>
      </c>
      <c r="D75" s="19">
        <v>1.5</v>
      </c>
      <c r="E75" s="19">
        <f t="shared" si="0"/>
        <v>300</v>
      </c>
    </row>
    <row r="76" spans="2:5" ht="12.75" x14ac:dyDescent="0.2">
      <c r="B76" s="14" t="str">
        <f>Texte!B168</f>
        <v>Schalterhalle, Empfang</v>
      </c>
      <c r="C76" s="19">
        <v>200</v>
      </c>
      <c r="D76" s="19">
        <v>1.5</v>
      </c>
      <c r="E76" s="19">
        <f t="shared" si="0"/>
        <v>300</v>
      </c>
    </row>
    <row r="77" spans="2:5" ht="12.75" x14ac:dyDescent="0.2">
      <c r="B77" s="14" t="str">
        <f>Texte!B169</f>
        <v>Schulfachraum</v>
      </c>
      <c r="C77" s="19">
        <v>500</v>
      </c>
      <c r="D77" s="19">
        <v>1</v>
      </c>
      <c r="E77" s="19">
        <f t="shared" si="0"/>
        <v>500</v>
      </c>
    </row>
    <row r="78" spans="2:5" ht="12.75" x14ac:dyDescent="0.2">
      <c r="B78" s="14" t="str">
        <f>Texte!B170</f>
        <v>Schulzimmer</v>
      </c>
      <c r="C78" s="19">
        <v>500</v>
      </c>
      <c r="D78" s="19">
        <v>1</v>
      </c>
      <c r="E78" s="19">
        <f t="shared" si="0"/>
        <v>500</v>
      </c>
    </row>
    <row r="79" spans="2:5" ht="12.75" x14ac:dyDescent="0.2">
      <c r="B79" s="14" t="str">
        <f>Texte!B171</f>
        <v>Schwimmhalle (oberirdisch)</v>
      </c>
      <c r="C79" s="19">
        <v>300</v>
      </c>
      <c r="D79" s="19">
        <v>1</v>
      </c>
      <c r="E79" s="19">
        <f t="shared" si="0"/>
        <v>300</v>
      </c>
    </row>
    <row r="80" spans="2:5" ht="12.75" x14ac:dyDescent="0.2">
      <c r="B80" s="14" t="str">
        <f>Texte!B172</f>
        <v>Schwimmhalle (unterirdisch)</v>
      </c>
      <c r="C80" s="19">
        <v>100</v>
      </c>
      <c r="D80" s="19">
        <v>1</v>
      </c>
      <c r="E80" s="19">
        <f t="shared" si="0"/>
        <v>100</v>
      </c>
    </row>
    <row r="81" spans="1:5" ht="12.75" x14ac:dyDescent="0.2">
      <c r="B81" s="14" t="str">
        <f>Texte!B173</f>
        <v>Selbstbedienungsrestaurant</v>
      </c>
      <c r="C81" s="19">
        <v>200</v>
      </c>
      <c r="D81" s="19">
        <v>1.5</v>
      </c>
      <c r="E81" s="19">
        <f t="shared" si="0"/>
        <v>300</v>
      </c>
    </row>
    <row r="82" spans="1:5" ht="12.75" x14ac:dyDescent="0.2">
      <c r="B82" s="14" t="str">
        <f>Texte!B174</f>
        <v>Sitzungszimmer</v>
      </c>
      <c r="C82" s="19">
        <v>500</v>
      </c>
      <c r="D82" s="19">
        <v>1</v>
      </c>
      <c r="E82" s="19">
        <f t="shared" si="0"/>
        <v>500</v>
      </c>
    </row>
    <row r="83" spans="1:5" ht="12.75" x14ac:dyDescent="0.2">
      <c r="B83" s="14" t="str">
        <f>Texte!B175</f>
        <v xml:space="preserve">Stationszimmer </v>
      </c>
      <c r="C83" s="19">
        <v>300</v>
      </c>
      <c r="D83" s="19">
        <v>1.67</v>
      </c>
      <c r="E83" s="19">
        <f t="shared" si="0"/>
        <v>500</v>
      </c>
    </row>
    <row r="84" spans="1:5" ht="12.75" x14ac:dyDescent="0.2">
      <c r="B84" s="14" t="str">
        <f>Texte!B176</f>
        <v>Turnhalle (oberirdisch)</v>
      </c>
      <c r="C84" s="19">
        <v>300</v>
      </c>
      <c r="D84" s="19">
        <v>1.67</v>
      </c>
      <c r="E84" s="19">
        <f t="shared" si="0"/>
        <v>500</v>
      </c>
    </row>
    <row r="85" spans="1:5" ht="12.75" x14ac:dyDescent="0.2">
      <c r="B85" s="14" t="str">
        <f>Texte!B177</f>
        <v>Turnhalle (unterirdisch)</v>
      </c>
      <c r="C85" s="19">
        <v>100</v>
      </c>
      <c r="D85" s="19">
        <v>1.67</v>
      </c>
      <c r="E85" s="19">
        <f t="shared" si="0"/>
        <v>170</v>
      </c>
    </row>
    <row r="86" spans="1:5" ht="12.75" x14ac:dyDescent="0.2">
      <c r="B86" s="14" t="str">
        <f>Texte!B178</f>
        <v>Verkauf Möbel, Bau, Garten</v>
      </c>
      <c r="C86" s="19">
        <v>300</v>
      </c>
      <c r="D86" s="19">
        <v>2</v>
      </c>
      <c r="E86" s="19">
        <f t="shared" si="0"/>
        <v>600</v>
      </c>
    </row>
    <row r="87" spans="1:5" ht="12.75" x14ac:dyDescent="0.2">
      <c r="B87" s="14" t="str">
        <f>Texte!B179</f>
        <v>Vorstellungsraum</v>
      </c>
      <c r="C87" s="19">
        <v>300</v>
      </c>
      <c r="D87" s="19">
        <v>1</v>
      </c>
      <c r="E87" s="19">
        <f t="shared" si="0"/>
        <v>300</v>
      </c>
    </row>
    <row r="88" spans="1:5" ht="12.75" x14ac:dyDescent="0.2">
      <c r="B88" s="14" t="str">
        <f>Texte!B180</f>
        <v>Wohn-, Schlafzimmer</v>
      </c>
      <c r="C88" s="19">
        <v>50</v>
      </c>
      <c r="D88" s="19">
        <v>2</v>
      </c>
      <c r="E88" s="19">
        <f t="shared" si="0"/>
        <v>100</v>
      </c>
    </row>
    <row r="91" spans="1:5" x14ac:dyDescent="0.2">
      <c r="A91" s="17" t="s">
        <v>130</v>
      </c>
      <c r="B91" s="19" t="s">
        <v>131</v>
      </c>
      <c r="C91" s="19">
        <v>0.7</v>
      </c>
      <c r="D91" s="19">
        <v>100</v>
      </c>
      <c r="E91" s="19" t="str">
        <f>Texte!$B$215</f>
        <v>gut erfüllt</v>
      </c>
    </row>
    <row r="92" spans="1:5" x14ac:dyDescent="0.2">
      <c r="A92" s="17"/>
      <c r="B92" s="19" t="s">
        <v>132</v>
      </c>
      <c r="C92" s="19">
        <v>0.5</v>
      </c>
      <c r="D92" s="19">
        <f>Gut</f>
        <v>0.7</v>
      </c>
      <c r="E92" s="19" t="str">
        <f>Texte!$B$216</f>
        <v>erfüllt</v>
      </c>
    </row>
    <row r="93" spans="1:5" x14ac:dyDescent="0.2">
      <c r="A93" s="17"/>
      <c r="B93" s="19" t="s">
        <v>133</v>
      </c>
      <c r="C93" s="19">
        <v>0</v>
      </c>
      <c r="D93" s="19">
        <f>Befriedigend</f>
        <v>0.5</v>
      </c>
      <c r="E93" s="19" t="str">
        <f>Texte!$B$217</f>
        <v>nicht erfüllt</v>
      </c>
    </row>
    <row r="94" spans="1:5" x14ac:dyDescent="0.2">
      <c r="A94" s="17"/>
    </row>
    <row r="95" spans="1:5" x14ac:dyDescent="0.2">
      <c r="A95" s="17" t="s">
        <v>136</v>
      </c>
      <c r="B95" s="189">
        <f>Befriedigend</f>
        <v>0.5</v>
      </c>
    </row>
    <row r="96" spans="1:5" x14ac:dyDescent="0.2">
      <c r="A96" s="17"/>
    </row>
    <row r="97" spans="1:2" x14ac:dyDescent="0.2">
      <c r="A97" s="17" t="s">
        <v>137</v>
      </c>
      <c r="B97" s="21">
        <f>IF(Typ="Modernisierung",0.35,0.2)</f>
        <v>0.2</v>
      </c>
    </row>
    <row r="98" spans="1:2" x14ac:dyDescent="0.2">
      <c r="A98" s="17"/>
    </row>
    <row r="99" spans="1:2" x14ac:dyDescent="0.2">
      <c r="A99" s="17" t="s">
        <v>138</v>
      </c>
      <c r="B99" s="19" t="str">
        <f>"Version "&amp;VersionNr</f>
        <v>Version 2.11</v>
      </c>
    </row>
  </sheetData>
  <phoneticPr fontId="15" type="noConversion"/>
  <dataValidations count="1">
    <dataValidation type="list" allowBlank="1" showInputMessage="1" showErrorMessage="1" sqref="B5" xr:uid="{00000000-0002-0000-0500-000000000000}">
      <formula1>ListSprache</formula1>
    </dataValidation>
  </dataValidations>
  <pageMargins left="0.78740157499999996" right="0.78740157499999996" top="0.984251969" bottom="0.984251969" header="0.4921259845" footer="0.4921259845"/>
  <pageSetup paperSize="9" orientation="portrait" r:id="rId1"/>
  <headerFooter alignWithMargins="0"/>
  <cellWatches>
    <cellWatch r="B12"/>
  </cellWatches>
  <drawing r:id="rId2"/>
  <legacyDrawing r:id="rId3"/>
  <mc:AlternateContent xmlns:mc="http://schemas.openxmlformats.org/markup-compatibility/2006">
    <mc:Choice Requires="x14">
      <controls>
        <mc:AlternateContent xmlns:mc="http://schemas.openxmlformats.org/markup-compatibility/2006">
          <mc:Choice Requires="x14">
            <control shapeId="40978" r:id="rId4" name="Button 18">
              <controlPr defaultSize="0" print="0" autoFill="0" autoPict="0" macro="[0]!LangChange_sheets_validation" altText="Tabellen umbenennen">
                <anchor moveWithCells="1" sizeWithCells="1">
                  <from>
                    <xdr:col>3</xdr:col>
                    <xdr:colOff>0</xdr:colOff>
                    <xdr:row>3</xdr:row>
                    <xdr:rowOff>133350</xdr:rowOff>
                  </from>
                  <to>
                    <xdr:col>5</xdr:col>
                    <xdr:colOff>0</xdr:colOff>
                    <xdr:row>5</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G360"/>
  <sheetViews>
    <sheetView topLeftCell="A327" workbookViewId="0">
      <selection activeCell="G6" sqref="G6"/>
    </sheetView>
  </sheetViews>
  <sheetFormatPr baseColWidth="10" defaultColWidth="11.5546875" defaultRowHeight="12.75" x14ac:dyDescent="0.2"/>
  <cols>
    <col min="1" max="1" width="11.44140625" style="26" customWidth="1"/>
    <col min="2" max="6" width="21.77734375" style="26" customWidth="1"/>
    <col min="7" max="16384" width="11.5546875" style="26"/>
  </cols>
  <sheetData>
    <row r="1" spans="1:6" ht="23.25" x14ac:dyDescent="0.35">
      <c r="A1" s="70" t="s">
        <v>166</v>
      </c>
    </row>
    <row r="2" spans="1:6" ht="9" customHeight="1" x14ac:dyDescent="0.2"/>
    <row r="3" spans="1:6" x14ac:dyDescent="0.2">
      <c r="A3" s="39" t="s">
        <v>191</v>
      </c>
      <c r="B3" s="39"/>
      <c r="C3" s="39"/>
      <c r="D3" s="39"/>
      <c r="E3" s="39"/>
      <c r="F3" s="39"/>
    </row>
    <row r="4" spans="1:6" x14ac:dyDescent="0.2">
      <c r="A4" s="39" t="s">
        <v>167</v>
      </c>
      <c r="B4" s="39" t="s">
        <v>168</v>
      </c>
      <c r="C4" s="39" t="s">
        <v>46</v>
      </c>
      <c r="D4" s="39" t="s">
        <v>190</v>
      </c>
      <c r="E4" s="39" t="s">
        <v>47</v>
      </c>
      <c r="F4" s="39" t="s">
        <v>48</v>
      </c>
    </row>
    <row r="5" spans="1:6" x14ac:dyDescent="0.2">
      <c r="A5" s="26" t="s">
        <v>171</v>
      </c>
      <c r="B5" s="26" t="str">
        <f t="shared" ref="B5:B35" si="0">INDEX($C5:$F5,1,MATCH(Sprachwahl,ListSprache,0))</f>
        <v>Tageslicht-Tool Minergie-Eco®</v>
      </c>
      <c r="C5" s="26" t="s">
        <v>169</v>
      </c>
      <c r="D5" s="26" t="s">
        <v>356</v>
      </c>
      <c r="E5" s="26" t="s">
        <v>355</v>
      </c>
      <c r="F5" s="26" t="s">
        <v>382</v>
      </c>
    </row>
    <row r="6" spans="1:6" x14ac:dyDescent="0.2">
      <c r="A6" s="26" t="s">
        <v>1031</v>
      </c>
      <c r="B6" s="26" t="str">
        <f t="shared" si="0"/>
        <v>Zu verwenden bis 31.12.2022</v>
      </c>
      <c r="C6" s="26" t="s">
        <v>1057</v>
      </c>
      <c r="D6" s="26" t="s">
        <v>1058</v>
      </c>
      <c r="E6" s="26" t="s">
        <v>1059</v>
      </c>
      <c r="F6" s="26" t="s">
        <v>1060</v>
      </c>
    </row>
    <row r="7" spans="1:6" x14ac:dyDescent="0.2">
      <c r="A7" s="26" t="s">
        <v>170</v>
      </c>
      <c r="B7" s="26" t="str">
        <f t="shared" si="0"/>
        <v>Objektdaten</v>
      </c>
      <c r="C7" s="26" t="s">
        <v>41</v>
      </c>
      <c r="D7" s="26" t="s">
        <v>240</v>
      </c>
      <c r="E7" s="26" t="s">
        <v>357</v>
      </c>
      <c r="F7" s="26" t="s">
        <v>383</v>
      </c>
    </row>
    <row r="8" spans="1:6" x14ac:dyDescent="0.2">
      <c r="A8" s="26" t="s">
        <v>172</v>
      </c>
      <c r="B8" s="26" t="str">
        <f t="shared" si="0"/>
        <v>Projektbezeichnung</v>
      </c>
      <c r="C8" s="26" t="s">
        <v>49</v>
      </c>
      <c r="D8" s="26" t="s">
        <v>241</v>
      </c>
      <c r="E8" s="26" t="s">
        <v>358</v>
      </c>
      <c r="F8" s="26" t="s">
        <v>384</v>
      </c>
    </row>
    <row r="9" spans="1:6" x14ac:dyDescent="0.2">
      <c r="A9" s="26" t="s">
        <v>173</v>
      </c>
      <c r="B9" s="26" t="str">
        <f t="shared" si="0"/>
        <v>Projekt-Typ</v>
      </c>
      <c r="C9" s="26" t="s">
        <v>24</v>
      </c>
      <c r="D9" s="26" t="s">
        <v>242</v>
      </c>
      <c r="E9" s="26" t="s">
        <v>359</v>
      </c>
      <c r="F9" s="26" t="s">
        <v>385</v>
      </c>
    </row>
    <row r="10" spans="1:6" x14ac:dyDescent="0.2">
      <c r="A10" s="26" t="s">
        <v>174</v>
      </c>
      <c r="B10" s="26" t="str">
        <f t="shared" si="0"/>
        <v>Bauherr</v>
      </c>
      <c r="C10" s="26" t="s">
        <v>23</v>
      </c>
      <c r="D10" s="26" t="s">
        <v>243</v>
      </c>
      <c r="E10" s="26" t="s">
        <v>386</v>
      </c>
      <c r="F10" s="26" t="str">
        <f>A10&amp;"_E"</f>
        <v>A11_E</v>
      </c>
    </row>
    <row r="11" spans="1:6" x14ac:dyDescent="0.2">
      <c r="A11" s="26" t="s">
        <v>175</v>
      </c>
      <c r="B11" s="26" t="str">
        <f t="shared" si="0"/>
        <v>Architekt</v>
      </c>
      <c r="C11" s="26" t="s">
        <v>3</v>
      </c>
      <c r="D11" s="26" t="s">
        <v>244</v>
      </c>
      <c r="E11" s="26" t="s">
        <v>360</v>
      </c>
      <c r="F11" s="26" t="s">
        <v>387</v>
      </c>
    </row>
    <row r="12" spans="1:6" x14ac:dyDescent="0.2">
      <c r="A12" s="26" t="s">
        <v>176</v>
      </c>
      <c r="B12" s="26" t="str">
        <f t="shared" si="0"/>
        <v>Elektroplanung</v>
      </c>
      <c r="C12" s="26" t="s">
        <v>4</v>
      </c>
      <c r="D12" s="26" t="s">
        <v>245</v>
      </c>
      <c r="E12" s="26" t="s">
        <v>361</v>
      </c>
      <c r="F12" s="26" t="s">
        <v>388</v>
      </c>
    </row>
    <row r="13" spans="1:6" x14ac:dyDescent="0.2">
      <c r="A13" s="26" t="s">
        <v>177</v>
      </c>
      <c r="B13" s="26" t="str">
        <f t="shared" si="0"/>
        <v>Beleuchtungsplanung</v>
      </c>
      <c r="C13" s="26" t="s">
        <v>6</v>
      </c>
      <c r="D13" s="26" t="s">
        <v>246</v>
      </c>
      <c r="E13" s="26" t="s">
        <v>362</v>
      </c>
      <c r="F13" s="26" t="s">
        <v>389</v>
      </c>
    </row>
    <row r="14" spans="1:6" x14ac:dyDescent="0.2">
      <c r="A14" s="26" t="s">
        <v>178</v>
      </c>
      <c r="B14" s="26" t="str">
        <f t="shared" si="0"/>
        <v>Ersteller Nachweis</v>
      </c>
      <c r="C14" s="26" t="s">
        <v>5</v>
      </c>
      <c r="D14" s="26" t="s">
        <v>247</v>
      </c>
      <c r="E14" s="26" t="s">
        <v>363</v>
      </c>
      <c r="F14" s="26" t="s">
        <v>546</v>
      </c>
    </row>
    <row r="15" spans="1:6" x14ac:dyDescent="0.2">
      <c r="A15" s="26" t="s">
        <v>179</v>
      </c>
      <c r="B15" s="26" t="str">
        <f t="shared" si="0"/>
        <v>Datum</v>
      </c>
      <c r="C15" s="26" t="s">
        <v>2</v>
      </c>
      <c r="D15" s="26" t="s">
        <v>248</v>
      </c>
      <c r="E15" s="26" t="s">
        <v>364</v>
      </c>
      <c r="F15" s="26" t="s">
        <v>248</v>
      </c>
    </row>
    <row r="16" spans="1:6" x14ac:dyDescent="0.2">
      <c r="A16" s="26" t="s">
        <v>180</v>
      </c>
      <c r="B16" s="26" t="str">
        <f t="shared" si="0"/>
        <v>Zusammenfassung der Ergebnisse Tageslicht</v>
      </c>
      <c r="C16" s="26" t="s">
        <v>1003</v>
      </c>
      <c r="D16" s="26" t="s">
        <v>1004</v>
      </c>
      <c r="E16" s="26" t="s">
        <v>1005</v>
      </c>
      <c r="F16" s="26" t="s">
        <v>1006</v>
      </c>
    </row>
    <row r="17" spans="1:6" x14ac:dyDescent="0.2">
      <c r="A17" s="26" t="s">
        <v>181</v>
      </c>
      <c r="B17" s="26" t="str">
        <f t="shared" si="0"/>
        <v>Erfasste Raumfläche total</v>
      </c>
      <c r="C17" s="26" t="s">
        <v>139</v>
      </c>
      <c r="D17" s="26" t="s">
        <v>249</v>
      </c>
      <c r="E17" s="26" t="s">
        <v>366</v>
      </c>
      <c r="F17" s="26" t="s">
        <v>391</v>
      </c>
    </row>
    <row r="18" spans="1:6" x14ac:dyDescent="0.2">
      <c r="A18" s="26" t="s">
        <v>233</v>
      </c>
      <c r="B18" s="26" t="str">
        <f t="shared" si="0"/>
        <v>Raumfläche mit ungenügendem Ergebnis</v>
      </c>
      <c r="C18" s="26" t="s">
        <v>141</v>
      </c>
      <c r="D18" s="26" t="s">
        <v>250</v>
      </c>
      <c r="E18" s="26" t="s">
        <v>367</v>
      </c>
      <c r="F18" s="26" t="s">
        <v>392</v>
      </c>
    </row>
    <row r="19" spans="1:6" x14ac:dyDescent="0.2">
      <c r="A19" s="26" t="s">
        <v>182</v>
      </c>
      <c r="B19" s="26" t="str">
        <f t="shared" si="0"/>
        <v>Die Anforderungen von Minergie-Eco sind</v>
      </c>
      <c r="C19" s="26" t="s">
        <v>143</v>
      </c>
      <c r="D19" s="26" t="s">
        <v>255</v>
      </c>
      <c r="E19" s="26" t="s">
        <v>368</v>
      </c>
      <c r="F19" s="26" t="s">
        <v>393</v>
      </c>
    </row>
    <row r="20" spans="1:6" x14ac:dyDescent="0.2">
      <c r="A20" s="26" t="s">
        <v>183</v>
      </c>
      <c r="B20" s="26" t="str">
        <f>INDEX($C20:$F20,1,MATCH(Sprachwahl,ListSprache,0))</f>
        <v>Zusammenfassung der Ergebnisse Ausblick</v>
      </c>
      <c r="C20" s="26" t="s">
        <v>1020</v>
      </c>
      <c r="D20" s="26" t="s">
        <v>1033</v>
      </c>
      <c r="E20" s="26" t="s">
        <v>1034</v>
      </c>
      <c r="F20" s="26" t="s">
        <v>1035</v>
      </c>
    </row>
    <row r="21" spans="1:6" x14ac:dyDescent="0.2">
      <c r="A21" s="26" t="s">
        <v>184</v>
      </c>
      <c r="B21" s="26" t="str">
        <f t="shared" si="0"/>
        <v>Erfasste Raumfläche total</v>
      </c>
      <c r="C21" s="26" t="s">
        <v>139</v>
      </c>
      <c r="D21" s="26" t="s">
        <v>249</v>
      </c>
      <c r="E21" s="26" t="s">
        <v>366</v>
      </c>
      <c r="F21" s="26" t="s">
        <v>391</v>
      </c>
    </row>
    <row r="22" spans="1:6" x14ac:dyDescent="0.2">
      <c r="A22" s="26" t="s">
        <v>185</v>
      </c>
      <c r="B22" s="26" t="str">
        <f t="shared" si="0"/>
        <v>Raumfläche mit ungenügendem Ergebnis</v>
      </c>
      <c r="C22" s="26" t="s">
        <v>141</v>
      </c>
      <c r="D22" s="26" t="s">
        <v>250</v>
      </c>
      <c r="E22" s="26" t="s">
        <v>367</v>
      </c>
      <c r="F22" s="26" t="s">
        <v>392</v>
      </c>
    </row>
    <row r="23" spans="1:6" x14ac:dyDescent="0.2">
      <c r="A23" s="26" t="s">
        <v>186</v>
      </c>
      <c r="B23" s="26" t="str">
        <f t="shared" si="0"/>
        <v>Die Anforderungen von Minergie-Eco sind</v>
      </c>
      <c r="C23" s="26" t="s">
        <v>143</v>
      </c>
      <c r="D23" s="26" t="s">
        <v>255</v>
      </c>
      <c r="E23" s="26" t="s">
        <v>368</v>
      </c>
      <c r="F23" s="26" t="s">
        <v>393</v>
      </c>
    </row>
    <row r="24" spans="1:6" x14ac:dyDescent="0.2">
      <c r="A24" s="26" t="s">
        <v>187</v>
      </c>
      <c r="B24" s="26" t="str">
        <f t="shared" si="0"/>
        <v>Kurzanleitung</v>
      </c>
      <c r="C24" s="26" t="s">
        <v>144</v>
      </c>
      <c r="D24" s="26" t="s">
        <v>251</v>
      </c>
      <c r="E24" s="26" t="s">
        <v>369</v>
      </c>
      <c r="F24" s="26" t="s">
        <v>394</v>
      </c>
    </row>
    <row r="25" spans="1:6" x14ac:dyDescent="0.2">
      <c r="A25" s="26" t="s">
        <v>1011</v>
      </c>
      <c r="B25" s="26" t="str">
        <f t="shared" si="0"/>
        <v xml:space="preserve">Eine ausführliche Anleitung finden Sie auf der Minergie-Website.  </v>
      </c>
      <c r="C25" s="26" t="s">
        <v>291</v>
      </c>
      <c r="D25" s="26" t="s">
        <v>292</v>
      </c>
      <c r="E25" s="26" t="s">
        <v>370</v>
      </c>
      <c r="F25" s="26" t="s">
        <v>395</v>
      </c>
    </row>
    <row r="26" spans="1:6" x14ac:dyDescent="0.2">
      <c r="A26" s="26" t="s">
        <v>188</v>
      </c>
      <c r="B26" s="26" t="str">
        <f t="shared" si="0"/>
        <v>Erfassen Sie zuerst die Objektdaten in diesem Blatt.</v>
      </c>
      <c r="C26" s="26" t="s">
        <v>666</v>
      </c>
      <c r="D26" s="26" t="s">
        <v>786</v>
      </c>
      <c r="E26" s="26" t="s">
        <v>745</v>
      </c>
      <c r="F26" s="26" t="s">
        <v>748</v>
      </c>
    </row>
    <row r="27" spans="1:6" x14ac:dyDescent="0.2">
      <c r="A27" s="26" t="s">
        <v>1012</v>
      </c>
      <c r="B27" s="26" t="str">
        <f t="shared" si="0"/>
        <v>Falls es sich beim Objekt um eine Modernisierung handelt, gehen Sie zum Blatt 'Fragenkatalog_Modernisierung' und füllen dieses aus.</v>
      </c>
      <c r="C27" s="26" t="str">
        <f>"Falls es sich beim Objekt um eine Modernisierung handelt, gehen Sie zum Blatt '"&amp;SheetQuestionaire&amp;"' und füllen dieses aus."</f>
        <v>Falls es sich beim Objekt um eine Modernisierung handelt, gehen Sie zum Blatt 'Fragenkatalog_Modernisierung' und füllen dieses aus.</v>
      </c>
      <c r="D27" s="26" t="str">
        <f>"Si le projet est une modernisation, allez sur la feuille '"&amp;SheetQuestionaire&amp;"' et remplissez-la."</f>
        <v>Si le projet est une modernisation, allez sur la feuille 'Fragenkatalog_Modernisierung' et remplissez-la.</v>
      </c>
      <c r="E27" s="26" t="str">
        <f>"Se l’oggetto è un ammodernamento, andare al foglio  '"&amp;SheetQuestionaire&amp;"' ."</f>
        <v>Se l’oggetto è un ammodernamento, andare al foglio  'Fragenkatalog_Modernisierung' .</v>
      </c>
      <c r="F27" s="26" t="str">
        <f>"If the project is undergoing a renovation, select the sheet '"&amp;SheetQuestionaire&amp;"' and answer the questions."</f>
        <v>If the project is undergoing a renovation, select the sheet 'Fragenkatalog_Modernisierung' and answer the questions.</v>
      </c>
    </row>
    <row r="28" spans="1:6" x14ac:dyDescent="0.2">
      <c r="A28" s="26" t="s">
        <v>1013</v>
      </c>
      <c r="B28" s="26" t="str">
        <f t="shared" si="0"/>
        <v>Falls es sich beim Objekt um einen Neubau handelt, gehen Sie zum Blatt 'Fenster'.</v>
      </c>
      <c r="C28" s="26" t="str">
        <f>"Falls es sich beim Objekt um einen Neubau handelt, gehen Sie zum Blatt '"&amp;SheetWindow&amp;"'."</f>
        <v>Falls es sich beim Objekt um einen Neubau handelt, gehen Sie zum Blatt 'Fenster'.</v>
      </c>
      <c r="D28" s="26" t="str">
        <f>"Si le projet est une nouvelle contruction, allez sur la feuille '"&amp;SheetWindow&amp;"'."</f>
        <v>Si le projet est une nouvelle contruction, allez sur la feuille 'Fenster'.</v>
      </c>
      <c r="E28" s="26" t="str">
        <f>"Se l’oggetto è un nuovo edificio, andare al foglio '"&amp;SheetWindow&amp;"'."</f>
        <v>Se l’oggetto è un nuovo edificio, andare al foglio 'Fenster'.</v>
      </c>
      <c r="F28" s="26" t="str">
        <f>"If the project is a new building, select the sheet '"&amp;SheetWindow&amp;"'."</f>
        <v>If the project is a new building, select the sheet 'Fenster'.</v>
      </c>
    </row>
    <row r="29" spans="1:6" x14ac:dyDescent="0.2">
      <c r="A29" s="26" t="s">
        <v>1014</v>
      </c>
      <c r="B29" s="26" t="str">
        <f t="shared" si="0"/>
        <v>Anschliessend geben Sie die Fensterdaten des Gebäudes in der Tabelle 'Fenster' ein.</v>
      </c>
      <c r="C29" s="26" t="str">
        <f>"Anschliessend geben Sie die Fensterdaten des Gebäudes in der Tabelle '"&amp;SheetWindow&amp;"' ein."</f>
        <v>Anschliessend geben Sie die Fensterdaten des Gebäudes in der Tabelle 'Fenster' ein.</v>
      </c>
      <c r="D29" s="26" t="str">
        <f>"Saisissez ensuite les données des fenêtres du bâtiment dans le tableau '"&amp;SheetWindow&amp;"'."</f>
        <v>Saisissez ensuite les données des fenêtres du bâtiment dans le tableau 'Fenster'.</v>
      </c>
      <c r="E29" s="26" t="str">
        <f>"Immettere quindi i dati delle finestre dell' edificio nella tabella '"&amp;SheetWindow&amp;"'."</f>
        <v>Immettere quindi i dati delle finestre dell' edificio nella tabella 'Fenster'.</v>
      </c>
      <c r="F29" s="26" t="str">
        <f>"Now, enter the windows data in the sheet '"&amp;SheetWindow&amp;"'."</f>
        <v>Now, enter the windows data in the sheet 'Fenster'.</v>
      </c>
    </row>
    <row r="30" spans="1:6" x14ac:dyDescent="0.2">
      <c r="A30" s="26" t="s">
        <v>1015</v>
      </c>
      <c r="B30" s="26" t="str">
        <f t="shared" si="0"/>
        <v>Als nächsten Schritt erfassen Sie die Raumdaten und die im Raum verwendeten Fenster im Blatt 'Tageslicht'.</v>
      </c>
      <c r="C30" s="26" t="str">
        <f>"Als nächsten Schritt erfassen Sie die Raumdaten und die im Raum verwendeten Fenster im Blatt '"&amp;SheetDaylight&amp;"'."</f>
        <v>Als nächsten Schritt erfassen Sie die Raumdaten und die im Raum verwendeten Fenster im Blatt 'Tageslicht'.</v>
      </c>
      <c r="D30" s="26" t="str">
        <f>"Comme prochaine étape, saisissez les données des locaux et les fenêtres utilisées dans la feuille '"&amp;SheetDaylight&amp;"'."</f>
        <v>Comme prochaine étape, saisissez les données des locaux et les fenêtres utilisées dans la feuille 'Tageslicht'.</v>
      </c>
      <c r="E30" s="26" t="str">
        <f>"Come passo successivo, nella scheda '"&amp;SheetDaylight&amp;"', inserire i dati del locale e delle finestre di pertinenza."</f>
        <v>Come passo successivo, nella scheda 'Tageslicht', inserire i dati del locale e delle finestre di pertinenza.</v>
      </c>
      <c r="F30" s="26" t="str">
        <f>"As next step, select the sheet '"&amp;SheetDaylight&amp;"' and enter the room data."</f>
        <v>As next step, select the sheet 'Tageslicht' and enter the room data.</v>
      </c>
    </row>
    <row r="31" spans="1:6" x14ac:dyDescent="0.2">
      <c r="A31" s="26" t="s">
        <v>1016</v>
      </c>
      <c r="B31" s="26" t="str">
        <f t="shared" si="0"/>
        <v>Zuletzt erfassen Sie den Ausblick pro Raum im Blatt 'Ausblick'.</v>
      </c>
      <c r="C31" s="26" t="str">
        <f>"Zuletzt erfassen Sie den Ausblick pro Raum im Blatt '"&amp;SheetViews&amp;"'."</f>
        <v>Zuletzt erfassen Sie den Ausblick pro Raum im Blatt 'Ausblick'.</v>
      </c>
      <c r="D31" s="26" t="str">
        <f>"Enfin, entrez les vues par local dans la feuille '"&amp;SheetViews&amp;"'."</f>
        <v>Enfin, entrez les vues par local dans la feuille 'Ausblick'.</v>
      </c>
      <c r="E31" s="26" t="str">
        <f>"Infine, si inseriscono le viste per locale nel foglio '"&amp;SheetViews&amp;"'."</f>
        <v>Infine, si inseriscono le viste per locale nel foglio 'Ausblick'.</v>
      </c>
      <c r="F31" s="26" t="str">
        <f>"Finally, enter the views per room in the sheet '"&amp;SheetViews&amp;"'."</f>
        <v>Finally, enter the views per room in the sheet 'Ausblick'.</v>
      </c>
    </row>
    <row r="32" spans="1:6" x14ac:dyDescent="0.2">
      <c r="A32" s="26" t="s">
        <v>1017</v>
      </c>
      <c r="B32" s="26" t="str">
        <f t="shared" si="0"/>
        <v>Bitte beachten Sie die beim Anklicken der Eingabefelder erscheinenden Hilfstexte.</v>
      </c>
      <c r="C32" s="26" t="s">
        <v>664</v>
      </c>
      <c r="D32" s="26" t="s">
        <v>787</v>
      </c>
      <c r="E32" s="26" t="s">
        <v>746</v>
      </c>
      <c r="F32" s="26" t="s">
        <v>749</v>
      </c>
    </row>
    <row r="33" spans="1:6" x14ac:dyDescent="0.2">
      <c r="A33" s="26" t="s">
        <v>1018</v>
      </c>
      <c r="B33" s="26" t="str">
        <f t="shared" si="0"/>
        <v>Die Ergebnisse werden unten auf der Seite im Blatt 'Tageslicht' und im Blatt 'Überblick' ausgegeben.</v>
      </c>
      <c r="C33" s="26" t="str">
        <f>"Die Ergebnisse werden unten auf der Seite im Blatt '"&amp;SheetDaylight&amp;"' und im Blatt '"&amp;SheetOverview&amp;"' ausgegeben."</f>
        <v>Die Ergebnisse werden unten auf der Seite im Blatt 'Tageslicht' und im Blatt 'Überblick' ausgegeben.</v>
      </c>
      <c r="D33" s="26" t="str">
        <f>"Les résultats seront affichés au bas de la page '"&amp;SheetDaylight&amp;"' et '"&amp;SheetOverview&amp;"'."</f>
        <v>Les résultats seront affichés au bas de la page 'Tageslicht' et 'Überblick'.</v>
      </c>
      <c r="E33" s="26" t="str">
        <f>"I risultati vengono visualizzati in fondo alla pagina nei fogli '"&amp;SheetOverview&amp;"' e '"&amp;SheetDaylight&amp;"'."</f>
        <v>I risultati vengono visualizzati in fondo alla pagina nei fogli 'Überblick' e 'Tageslicht'.</v>
      </c>
      <c r="F33" s="26" t="str">
        <f>"The results are displayed on the bottom of the sheet '"&amp;SheetDaylight&amp;"' and on the sheet '"&amp;SheetOverview&amp;"'."</f>
        <v>The results are displayed on the bottom of the sheet 'Tageslicht' and on the sheet 'Überblick'.</v>
      </c>
    </row>
    <row r="34" spans="1:6" x14ac:dyDescent="0.2">
      <c r="A34" s="26" t="s">
        <v>1019</v>
      </c>
      <c r="B34" s="26" t="str">
        <f t="shared" si="0"/>
        <v>Falls eine Tabelle nicht ausreichen sollte, so können Sie die Ergebnisse von anderen Blättern unten im Blatt 'Tageslicht' eintragen.</v>
      </c>
      <c r="C34" s="26" t="str">
        <f>"Falls eine Tabelle nicht ausreichen sollte, so können Sie die Ergebnisse von anderen Blättern unten im Blatt '"&amp;SheetDaylight&amp;"' eintragen."</f>
        <v>Falls eine Tabelle nicht ausreichen sollte, so können Sie die Ergebnisse von anderen Blättern unten im Blatt 'Tageslicht' eintragen.</v>
      </c>
      <c r="D34" s="26" t="str">
        <f>"Si un tableau n'est pas suffisant, vous pouvez saisir les résultats des autres feuilles dans la feuille '"&amp;SheetDaylight&amp;"' ci-dessous."</f>
        <v>Si un tableau n'est pas suffisant, vous pouvez saisir les résultats des autres feuilles dans la feuille 'Tageslicht' ci-dessous.</v>
      </c>
      <c r="E34" s="26" t="str">
        <f>"Se una tabella non è sufficiente, è possibile inserire i risultati di altri fogli in fondo al foglio '"&amp;SheetDaylight&amp;"'."</f>
        <v>Se una tabella non è sufficiente, è possibile inserire i risultati di altri fogli in fondo al foglio 'Tageslicht'.</v>
      </c>
      <c r="F34" s="26" t="str">
        <f>"If the number of rows is insufficient, you can report the results of other tools on the bottom of sheet '"&amp;SheetDaylight&amp;"'."</f>
        <v>If the number of rows is insufficient, you can report the results of other tools on the bottom of sheet 'Tageslicht'.</v>
      </c>
    </row>
    <row r="35" spans="1:6" x14ac:dyDescent="0.2">
      <c r="A35" s="26" t="s">
        <v>1032</v>
      </c>
      <c r="B35" s="26" t="str">
        <f t="shared" si="0"/>
        <v>Bei Fragen zu Zertifizierungsobjekten steht Ihnen die zuständige Zertifizierungsstelle gerne zur Verfügung.</v>
      </c>
      <c r="C35" s="26" t="s">
        <v>665</v>
      </c>
      <c r="D35" s="26" t="s">
        <v>788</v>
      </c>
      <c r="E35" s="26" t="s">
        <v>747</v>
      </c>
      <c r="F35" s="26" t="s">
        <v>750</v>
      </c>
    </row>
    <row r="37" spans="1:6" x14ac:dyDescent="0.2">
      <c r="A37" s="39" t="s">
        <v>189</v>
      </c>
      <c r="B37" s="39"/>
      <c r="C37" s="39"/>
      <c r="D37" s="39"/>
      <c r="E37" s="39"/>
      <c r="F37" s="39"/>
    </row>
    <row r="38" spans="1:6" x14ac:dyDescent="0.2">
      <c r="A38" s="39" t="s">
        <v>167</v>
      </c>
      <c r="B38" s="39" t="s">
        <v>168</v>
      </c>
      <c r="C38" s="39" t="str">
        <f>C$4</f>
        <v>Deutsch</v>
      </c>
      <c r="D38" s="39" t="str">
        <f>D$4</f>
        <v>Francais</v>
      </c>
      <c r="E38" s="39" t="str">
        <f>E$4</f>
        <v>Italiano</v>
      </c>
      <c r="F38" s="39" t="str">
        <f>F$4</f>
        <v>English</v>
      </c>
    </row>
    <row r="39" spans="1:6" x14ac:dyDescent="0.2">
      <c r="A39" s="26" t="s">
        <v>171</v>
      </c>
      <c r="B39" s="26" t="str">
        <f t="shared" ref="B39:B53" si="1">INDEX($C39:$F39,1,MATCH(Sprachwahl,ListSprache,0))</f>
        <v>Fensterdaten</v>
      </c>
      <c r="C39" s="26" t="s">
        <v>69</v>
      </c>
      <c r="D39" s="26" t="s">
        <v>345</v>
      </c>
      <c r="E39" s="26" t="s">
        <v>715</v>
      </c>
      <c r="F39" s="26" t="s">
        <v>396</v>
      </c>
    </row>
    <row r="40" spans="1:6" x14ac:dyDescent="0.2">
      <c r="A40" s="26" t="s">
        <v>201</v>
      </c>
      <c r="B40" s="26" t="str">
        <f t="shared" si="1"/>
        <v>Fensterdaten</v>
      </c>
      <c r="C40" s="26" t="s">
        <v>69</v>
      </c>
      <c r="D40" s="26" t="s">
        <v>345</v>
      </c>
      <c r="E40" s="26" t="s">
        <v>715</v>
      </c>
      <c r="F40" s="26" t="s">
        <v>396</v>
      </c>
    </row>
    <row r="41" spans="1:6" x14ac:dyDescent="0.2">
      <c r="A41" s="26" t="s">
        <v>192</v>
      </c>
      <c r="B41" s="26" t="str">
        <f t="shared" si="1"/>
        <v>Kürzel
-</v>
      </c>
      <c r="C41" s="26" t="s">
        <v>80</v>
      </c>
      <c r="D41" s="26" t="s">
        <v>347</v>
      </c>
      <c r="E41" s="26" t="s">
        <v>734</v>
      </c>
      <c r="F41" s="26" t="s">
        <v>754</v>
      </c>
    </row>
    <row r="42" spans="1:6" x14ac:dyDescent="0.2">
      <c r="A42" s="26" t="s">
        <v>193</v>
      </c>
      <c r="B42" s="26" t="str">
        <f t="shared" si="1"/>
        <v>Bezeichnung
-</v>
      </c>
      <c r="C42" s="26" t="s">
        <v>79</v>
      </c>
      <c r="D42" s="26" t="s">
        <v>348</v>
      </c>
      <c r="E42" s="26" t="s">
        <v>735</v>
      </c>
      <c r="F42" s="26" t="s">
        <v>398</v>
      </c>
    </row>
    <row r="43" spans="1:6" x14ac:dyDescent="0.2">
      <c r="A43" s="26" t="s">
        <v>194</v>
      </c>
      <c r="B43" s="26" t="str">
        <f t="shared" si="1"/>
        <v>Breite
m</v>
      </c>
      <c r="C43" s="26" t="s">
        <v>76</v>
      </c>
      <c r="D43" s="26" t="s">
        <v>258</v>
      </c>
      <c r="E43" s="26" t="s">
        <v>731</v>
      </c>
      <c r="F43" s="26" t="s">
        <v>399</v>
      </c>
    </row>
    <row r="44" spans="1:6" x14ac:dyDescent="0.2">
      <c r="A44" s="26" t="s">
        <v>195</v>
      </c>
      <c r="B44" s="26" t="str">
        <f t="shared" si="1"/>
        <v>Höhe
m</v>
      </c>
      <c r="C44" s="26" t="s">
        <v>27</v>
      </c>
      <c r="D44" s="26" t="s">
        <v>349</v>
      </c>
      <c r="E44" s="26" t="s">
        <v>409</v>
      </c>
      <c r="F44" s="26" t="s">
        <v>400</v>
      </c>
    </row>
    <row r="45" spans="1:6" x14ac:dyDescent="0.2">
      <c r="A45" s="26" t="s">
        <v>196</v>
      </c>
      <c r="B45" s="26" t="str">
        <f t="shared" si="1"/>
        <v>Glasanteil
%</v>
      </c>
      <c r="C45" s="26" t="s">
        <v>129</v>
      </c>
      <c r="D45" s="26" t="s">
        <v>346</v>
      </c>
      <c r="E45" s="26" t="s">
        <v>440</v>
      </c>
      <c r="F45" s="26" t="s">
        <v>401</v>
      </c>
    </row>
    <row r="46" spans="1:6" x14ac:dyDescent="0.2">
      <c r="A46" s="26" t="s">
        <v>197</v>
      </c>
      <c r="B46" s="26" t="str">
        <f t="shared" si="1"/>
        <v>Tau
%</v>
      </c>
      <c r="C46" s="26" t="s">
        <v>77</v>
      </c>
      <c r="D46" s="26" t="s">
        <v>350</v>
      </c>
      <c r="E46" s="26" t="s">
        <v>410</v>
      </c>
      <c r="F46" s="26" t="s">
        <v>402</v>
      </c>
    </row>
    <row r="47" spans="1:6" x14ac:dyDescent="0.2">
      <c r="A47" s="26" t="s">
        <v>198</v>
      </c>
      <c r="B47" s="26" t="str">
        <f t="shared" si="1"/>
        <v>Sturzhöhe
m</v>
      </c>
      <c r="C47" s="26" t="s">
        <v>81</v>
      </c>
      <c r="D47" s="26" t="s">
        <v>293</v>
      </c>
      <c r="E47" s="26" t="s">
        <v>411</v>
      </c>
      <c r="F47" s="26" t="s">
        <v>403</v>
      </c>
    </row>
    <row r="48" spans="1:6" x14ac:dyDescent="0.2">
      <c r="A48" s="26" t="s">
        <v>199</v>
      </c>
      <c r="B48" s="26" t="str">
        <f t="shared" si="1"/>
        <v>Auskragung
m</v>
      </c>
      <c r="C48" s="26" t="s">
        <v>150</v>
      </c>
      <c r="D48" s="26" t="s">
        <v>294</v>
      </c>
      <c r="E48" s="26" t="s">
        <v>730</v>
      </c>
      <c r="F48" s="26" t="s">
        <v>404</v>
      </c>
    </row>
    <row r="49" spans="1:6" x14ac:dyDescent="0.2">
      <c r="A49" s="26" t="s">
        <v>200</v>
      </c>
      <c r="B49" s="26" t="str">
        <f t="shared" si="1"/>
        <v>Oberlicht
-</v>
      </c>
      <c r="C49" s="26" t="s">
        <v>115</v>
      </c>
      <c r="D49" s="26" t="s">
        <v>296</v>
      </c>
      <c r="E49" s="26" t="s">
        <v>732</v>
      </c>
      <c r="F49" s="26" t="s">
        <v>405</v>
      </c>
    </row>
    <row r="50" spans="1:6" x14ac:dyDescent="0.2">
      <c r="A50" s="26" t="s">
        <v>202</v>
      </c>
      <c r="B50" s="26" t="str">
        <f t="shared" si="1"/>
        <v>Sonnenschutz und Verschattung</v>
      </c>
      <c r="C50" s="26" t="s">
        <v>148</v>
      </c>
      <c r="D50" s="26" t="s">
        <v>351</v>
      </c>
      <c r="E50" s="26" t="s">
        <v>412</v>
      </c>
      <c r="F50" s="26" t="s">
        <v>406</v>
      </c>
    </row>
    <row r="51" spans="1:6" x14ac:dyDescent="0.2">
      <c r="A51" s="26" t="s">
        <v>203</v>
      </c>
      <c r="B51" s="26" t="str">
        <f t="shared" si="1"/>
        <v>Typ
-</v>
      </c>
      <c r="C51" s="26" t="s">
        <v>68</v>
      </c>
      <c r="D51" s="26" t="s">
        <v>352</v>
      </c>
      <c r="E51" s="26" t="s">
        <v>413</v>
      </c>
      <c r="F51" s="26" t="s">
        <v>352</v>
      </c>
    </row>
    <row r="52" spans="1:6" x14ac:dyDescent="0.2">
      <c r="A52" s="26" t="s">
        <v>204</v>
      </c>
      <c r="B52" s="26" t="str">
        <f t="shared" si="1"/>
        <v>Steuerung
-</v>
      </c>
      <c r="C52" s="26" t="s">
        <v>82</v>
      </c>
      <c r="D52" s="26" t="s">
        <v>297</v>
      </c>
      <c r="E52" s="26" t="s">
        <v>414</v>
      </c>
      <c r="F52" s="26" t="s">
        <v>407</v>
      </c>
    </row>
    <row r="53" spans="1:6" x14ac:dyDescent="0.2">
      <c r="A53" s="26" t="s">
        <v>205</v>
      </c>
      <c r="B53" s="26" t="str">
        <f t="shared" si="1"/>
        <v>Verschattung
-</v>
      </c>
      <c r="C53" s="26" t="s">
        <v>114</v>
      </c>
      <c r="D53" s="26" t="s">
        <v>295</v>
      </c>
      <c r="E53" s="26" t="s">
        <v>733</v>
      </c>
      <c r="F53" s="26" t="s">
        <v>408</v>
      </c>
    </row>
    <row r="55" spans="1:6" x14ac:dyDescent="0.2">
      <c r="A55" s="39" t="s">
        <v>206</v>
      </c>
      <c r="B55" s="39"/>
      <c r="C55" s="39"/>
      <c r="D55" s="39"/>
      <c r="E55" s="39"/>
      <c r="F55" s="39"/>
    </row>
    <row r="56" spans="1:6" x14ac:dyDescent="0.2">
      <c r="A56" s="39" t="s">
        <v>167</v>
      </c>
      <c r="B56" s="39" t="s">
        <v>168</v>
      </c>
      <c r="C56" s="39" t="str">
        <f>C$4</f>
        <v>Deutsch</v>
      </c>
      <c r="D56" s="39" t="str">
        <f>D$4</f>
        <v>Francais</v>
      </c>
      <c r="E56" s="39" t="str">
        <f>E$4</f>
        <v>Italiano</v>
      </c>
      <c r="F56" s="39" t="str">
        <f>F$4</f>
        <v>English</v>
      </c>
    </row>
    <row r="57" spans="1:6" x14ac:dyDescent="0.2">
      <c r="A57" s="26" t="s">
        <v>171</v>
      </c>
      <c r="B57" s="26" t="str">
        <f t="shared" ref="B57:B93" si="2">INDEX($C57:$F57,1,MATCH(Sprachwahl,ListSprache,0))</f>
        <v>Typische Räume und Tageslicht</v>
      </c>
      <c r="C57" s="26" t="s">
        <v>207</v>
      </c>
      <c r="D57" s="26" t="s">
        <v>256</v>
      </c>
      <c r="E57" s="26" t="s">
        <v>371</v>
      </c>
      <c r="F57" s="26" t="s">
        <v>415</v>
      </c>
    </row>
    <row r="58" spans="1:6" x14ac:dyDescent="0.2">
      <c r="A58" s="26" t="s">
        <v>201</v>
      </c>
      <c r="B58" s="26" t="str">
        <f t="shared" si="2"/>
        <v>Typische Räume</v>
      </c>
      <c r="C58" s="26" t="s">
        <v>7</v>
      </c>
      <c r="D58" s="26" t="s">
        <v>257</v>
      </c>
      <c r="E58" s="26" t="s">
        <v>372</v>
      </c>
      <c r="F58" s="26" t="s">
        <v>416</v>
      </c>
    </row>
    <row r="59" spans="1:6" x14ac:dyDescent="0.2">
      <c r="A59" s="26" t="s">
        <v>839</v>
      </c>
      <c r="B59" s="26" t="str">
        <f t="shared" si="2"/>
        <v>Res.</v>
      </c>
      <c r="C59" s="26" t="s">
        <v>838</v>
      </c>
      <c r="D59" s="26" t="s">
        <v>840</v>
      </c>
      <c r="E59" s="26" t="s">
        <v>841</v>
      </c>
      <c r="F59" s="26" t="s">
        <v>838</v>
      </c>
    </row>
    <row r="60" spans="1:6" x14ac:dyDescent="0.2">
      <c r="A60" s="26" t="s">
        <v>211</v>
      </c>
      <c r="B60" s="26" t="str">
        <f t="shared" si="2"/>
        <v>Nr.</v>
      </c>
      <c r="C60" s="26" t="s">
        <v>50</v>
      </c>
      <c r="D60" s="26" t="s">
        <v>50</v>
      </c>
      <c r="E60" s="26" t="s">
        <v>50</v>
      </c>
      <c r="F60" s="26" t="s">
        <v>417</v>
      </c>
    </row>
    <row r="61" spans="1:6" x14ac:dyDescent="0.2">
      <c r="A61" s="26" t="s">
        <v>192</v>
      </c>
      <c r="B61" s="26" t="str">
        <f t="shared" si="2"/>
        <v>Raumbezeichnung
-</v>
      </c>
      <c r="C61" s="26" t="s">
        <v>737</v>
      </c>
      <c r="D61" s="26" t="s">
        <v>738</v>
      </c>
      <c r="E61" s="26" t="s">
        <v>739</v>
      </c>
      <c r="F61" s="26" t="s">
        <v>740</v>
      </c>
    </row>
    <row r="62" spans="1:6" x14ac:dyDescent="0.2">
      <c r="A62" s="26" t="s">
        <v>193</v>
      </c>
      <c r="B62" s="26" t="str">
        <f t="shared" si="2"/>
        <v>Auswahl Hauptnutzung
-</v>
      </c>
      <c r="C62" s="26" t="s">
        <v>757</v>
      </c>
      <c r="D62" s="26" t="s">
        <v>758</v>
      </c>
      <c r="E62" s="26" t="s">
        <v>743</v>
      </c>
      <c r="F62" s="26" t="s">
        <v>756</v>
      </c>
    </row>
    <row r="63" spans="1:6" x14ac:dyDescent="0.2">
      <c r="A63" s="26" t="s">
        <v>212</v>
      </c>
      <c r="B63" s="26" t="str">
        <f t="shared" si="2"/>
        <v>Raumdaten</v>
      </c>
      <c r="C63" s="26" t="s">
        <v>67</v>
      </c>
      <c r="D63" s="26" t="s">
        <v>263</v>
      </c>
      <c r="E63" s="26" t="s">
        <v>373</v>
      </c>
      <c r="F63" s="26" t="s">
        <v>418</v>
      </c>
    </row>
    <row r="64" spans="1:6" x14ac:dyDescent="0.2">
      <c r="A64" s="26" t="s">
        <v>194</v>
      </c>
      <c r="B64" s="26" t="str">
        <f t="shared" si="2"/>
        <v>Länge
m</v>
      </c>
      <c r="C64" s="26" t="s">
        <v>25</v>
      </c>
      <c r="D64" s="26" t="s">
        <v>258</v>
      </c>
      <c r="E64" s="26" t="s">
        <v>731</v>
      </c>
      <c r="F64" s="26" t="s">
        <v>399</v>
      </c>
    </row>
    <row r="65" spans="1:6" x14ac:dyDescent="0.2">
      <c r="A65" s="26" t="s">
        <v>195</v>
      </c>
      <c r="B65" s="26" t="str">
        <f t="shared" si="2"/>
        <v>Tiefe
m</v>
      </c>
      <c r="C65" s="26" t="s">
        <v>26</v>
      </c>
      <c r="D65" s="26" t="s">
        <v>259</v>
      </c>
      <c r="E65" s="26" t="s">
        <v>409</v>
      </c>
      <c r="F65" s="26" t="s">
        <v>419</v>
      </c>
    </row>
    <row r="66" spans="1:6" x14ac:dyDescent="0.2">
      <c r="A66" s="26" t="s">
        <v>196</v>
      </c>
      <c r="B66" s="26" t="str">
        <f t="shared" si="2"/>
        <v>Höhe
m</v>
      </c>
      <c r="C66" s="26" t="s">
        <v>27</v>
      </c>
      <c r="D66" s="26" t="s">
        <v>260</v>
      </c>
      <c r="E66" s="26" t="s">
        <v>736</v>
      </c>
      <c r="F66" s="26" t="s">
        <v>400</v>
      </c>
    </row>
    <row r="67" spans="1:6" x14ac:dyDescent="0.2">
      <c r="A67" s="26" t="s">
        <v>197</v>
      </c>
      <c r="B67" s="26" t="str">
        <f t="shared" si="2"/>
        <v>Fläche
m2</v>
      </c>
      <c r="C67" s="26" t="s">
        <v>208</v>
      </c>
      <c r="D67" s="26" t="s">
        <v>261</v>
      </c>
      <c r="E67" s="26" t="s">
        <v>741</v>
      </c>
      <c r="F67" s="26" t="s">
        <v>420</v>
      </c>
    </row>
    <row r="68" spans="1:6" x14ac:dyDescent="0.2">
      <c r="A68" s="26" t="s">
        <v>198</v>
      </c>
      <c r="B68" s="26" t="str">
        <f t="shared" si="2"/>
        <v>Anzahl
Stk</v>
      </c>
      <c r="C68" s="26" t="s">
        <v>38</v>
      </c>
      <c r="D68" s="26" t="s">
        <v>262</v>
      </c>
      <c r="E68" s="26" t="s">
        <v>716</v>
      </c>
      <c r="F68" s="26" t="s">
        <v>421</v>
      </c>
    </row>
    <row r="69" spans="1:6" x14ac:dyDescent="0.2">
      <c r="A69" s="26" t="s">
        <v>199</v>
      </c>
      <c r="B69" s="26" t="str">
        <f t="shared" si="2"/>
        <v>Raum-Reflexion
-</v>
      </c>
      <c r="C69" s="26" t="s">
        <v>40</v>
      </c>
      <c r="D69" s="26" t="s">
        <v>264</v>
      </c>
      <c r="E69" s="26" t="s">
        <v>744</v>
      </c>
      <c r="F69" s="26" t="s">
        <v>755</v>
      </c>
    </row>
    <row r="70" spans="1:6" x14ac:dyDescent="0.2">
      <c r="A70" s="26" t="s">
        <v>213</v>
      </c>
      <c r="B70" s="26" t="str">
        <f t="shared" si="2"/>
        <v>Fenster</v>
      </c>
      <c r="C70" s="26" t="s">
        <v>65</v>
      </c>
      <c r="D70" s="26" t="s">
        <v>265</v>
      </c>
      <c r="E70" s="26" t="s">
        <v>374</v>
      </c>
      <c r="F70" s="26" t="s">
        <v>422</v>
      </c>
    </row>
    <row r="71" spans="1:6" x14ac:dyDescent="0.2">
      <c r="A71" s="26" t="s">
        <v>200</v>
      </c>
      <c r="B71" s="26" t="str">
        <f t="shared" si="2"/>
        <v>Typ 1
-</v>
      </c>
      <c r="C71" s="26" t="s">
        <v>120</v>
      </c>
      <c r="D71" s="26" t="s">
        <v>266</v>
      </c>
      <c r="E71" s="26" t="s">
        <v>375</v>
      </c>
      <c r="F71" s="26" t="s">
        <v>266</v>
      </c>
    </row>
    <row r="72" spans="1:6" x14ac:dyDescent="0.2">
      <c r="A72" s="26" t="s">
        <v>203</v>
      </c>
      <c r="B72" s="26" t="str">
        <f t="shared" si="2"/>
        <v>Anzahl
Stk</v>
      </c>
      <c r="C72" s="26" t="s">
        <v>38</v>
      </c>
      <c r="D72" s="26" t="s">
        <v>262</v>
      </c>
      <c r="E72" s="26" t="s">
        <v>717</v>
      </c>
      <c r="F72" s="26" t="s">
        <v>421</v>
      </c>
    </row>
    <row r="73" spans="1:6" x14ac:dyDescent="0.2">
      <c r="A73" s="26" t="s">
        <v>204</v>
      </c>
      <c r="B73" s="26" t="str">
        <f t="shared" si="2"/>
        <v>Typ 2
-</v>
      </c>
      <c r="C73" s="26" t="s">
        <v>121</v>
      </c>
      <c r="D73" s="26" t="s">
        <v>267</v>
      </c>
      <c r="E73" s="26" t="s">
        <v>376</v>
      </c>
      <c r="F73" s="26" t="s">
        <v>267</v>
      </c>
    </row>
    <row r="74" spans="1:6" x14ac:dyDescent="0.2">
      <c r="A74" s="26" t="s">
        <v>205</v>
      </c>
      <c r="B74" s="26" t="str">
        <f t="shared" si="2"/>
        <v>Anzahl
Stk</v>
      </c>
      <c r="C74" s="26" t="s">
        <v>38</v>
      </c>
      <c r="D74" s="26" t="s">
        <v>262</v>
      </c>
      <c r="E74" s="26" t="s">
        <v>717</v>
      </c>
      <c r="F74" s="26" t="s">
        <v>421</v>
      </c>
    </row>
    <row r="75" spans="1:6" x14ac:dyDescent="0.2">
      <c r="A75" s="26" t="s">
        <v>214</v>
      </c>
      <c r="B75" s="26" t="str">
        <f t="shared" si="2"/>
        <v>Typ 3
-</v>
      </c>
      <c r="C75" s="26" t="s">
        <v>122</v>
      </c>
      <c r="D75" s="26" t="s">
        <v>268</v>
      </c>
      <c r="E75" s="26" t="s">
        <v>377</v>
      </c>
      <c r="F75" s="26" t="s">
        <v>268</v>
      </c>
    </row>
    <row r="76" spans="1:6" x14ac:dyDescent="0.2">
      <c r="A76" s="26" t="s">
        <v>215</v>
      </c>
      <c r="B76" s="26" t="str">
        <f t="shared" si="2"/>
        <v>Anzahl
Stk</v>
      </c>
      <c r="C76" s="26" t="s">
        <v>38</v>
      </c>
      <c r="D76" s="26" t="s">
        <v>262</v>
      </c>
      <c r="E76" s="26" t="s">
        <v>717</v>
      </c>
      <c r="F76" s="26" t="s">
        <v>421</v>
      </c>
    </row>
    <row r="77" spans="1:6" x14ac:dyDescent="0.2">
      <c r="A77" s="26" t="s">
        <v>216</v>
      </c>
      <c r="B77" s="26" t="str">
        <f t="shared" si="2"/>
        <v>Typ 4
-</v>
      </c>
      <c r="C77" s="26" t="s">
        <v>123</v>
      </c>
      <c r="D77" s="26" t="s">
        <v>269</v>
      </c>
      <c r="E77" s="26" t="s">
        <v>378</v>
      </c>
      <c r="F77" s="26" t="s">
        <v>269</v>
      </c>
    </row>
    <row r="78" spans="1:6" x14ac:dyDescent="0.2">
      <c r="A78" s="26" t="s">
        <v>217</v>
      </c>
      <c r="B78" s="26" t="str">
        <f t="shared" si="2"/>
        <v>Anzahl
Stk</v>
      </c>
      <c r="C78" s="26" t="s">
        <v>38</v>
      </c>
      <c r="D78" s="26" t="s">
        <v>262</v>
      </c>
      <c r="E78" s="26" t="s">
        <v>717</v>
      </c>
      <c r="F78" s="26" t="s">
        <v>421</v>
      </c>
    </row>
    <row r="79" spans="1:6" x14ac:dyDescent="0.2">
      <c r="A79" s="26" t="s">
        <v>842</v>
      </c>
      <c r="B79" s="26" t="str">
        <f t="shared" si="2"/>
        <v>Erf. Grad
%</v>
      </c>
      <c r="C79" s="26" t="s">
        <v>843</v>
      </c>
      <c r="D79" s="26" t="s">
        <v>844</v>
      </c>
      <c r="E79" s="26" t="s">
        <v>845</v>
      </c>
      <c r="F79" s="26" t="s">
        <v>890</v>
      </c>
    </row>
    <row r="80" spans="1:6" x14ac:dyDescent="0.2">
      <c r="A80" s="26" t="s">
        <v>570</v>
      </c>
      <c r="B80" s="26" t="str">
        <f t="shared" si="2"/>
        <v>Ergebnisse</v>
      </c>
      <c r="C80" s="26" t="s">
        <v>124</v>
      </c>
      <c r="D80" s="26" t="s">
        <v>270</v>
      </c>
      <c r="E80" s="26" t="s">
        <v>379</v>
      </c>
      <c r="F80" s="26" t="s">
        <v>423</v>
      </c>
    </row>
    <row r="81" spans="1:6" x14ac:dyDescent="0.2">
      <c r="A81" s="26" t="s">
        <v>571</v>
      </c>
      <c r="B81" s="26" t="str">
        <f t="shared" si="2"/>
        <v>Resultate aus diesem Blatt</v>
      </c>
      <c r="C81" s="26" t="s">
        <v>608</v>
      </c>
      <c r="D81" s="26" t="s">
        <v>561</v>
      </c>
      <c r="E81" s="26" t="s">
        <v>718</v>
      </c>
      <c r="F81" s="26" t="s">
        <v>562</v>
      </c>
    </row>
    <row r="82" spans="1:6" x14ac:dyDescent="0.2">
      <c r="A82" s="26" t="s">
        <v>572</v>
      </c>
      <c r="B82" s="26" t="str">
        <f t="shared" si="2"/>
        <v>Übertrag aus anderen Blättern</v>
      </c>
      <c r="C82" s="26" t="s">
        <v>609</v>
      </c>
      <c r="D82" s="26" t="s">
        <v>552</v>
      </c>
      <c r="E82" s="26" t="s">
        <v>719</v>
      </c>
      <c r="F82" s="26" t="s">
        <v>553</v>
      </c>
    </row>
    <row r="83" spans="1:6" x14ac:dyDescent="0.2">
      <c r="A83" s="26" t="s">
        <v>573</v>
      </c>
      <c r="B83" s="26" t="str">
        <f t="shared" si="2"/>
        <v>Gesamtresultat</v>
      </c>
      <c r="C83" s="26" t="s">
        <v>566</v>
      </c>
      <c r="D83" s="26" t="s">
        <v>567</v>
      </c>
      <c r="E83" s="26" t="s">
        <v>568</v>
      </c>
      <c r="F83" s="26" t="s">
        <v>569</v>
      </c>
    </row>
    <row r="84" spans="1:6" x14ac:dyDescent="0.2">
      <c r="A84" s="26" t="s">
        <v>574</v>
      </c>
      <c r="B84" s="26" t="str">
        <f t="shared" si="2"/>
        <v>Bezeichnung</v>
      </c>
      <c r="C84" s="26" t="s">
        <v>75</v>
      </c>
      <c r="D84" s="26" t="s">
        <v>563</v>
      </c>
      <c r="E84" s="26" t="s">
        <v>564</v>
      </c>
      <c r="F84" s="26" t="s">
        <v>565</v>
      </c>
    </row>
    <row r="85" spans="1:6" x14ac:dyDescent="0.2">
      <c r="A85" s="26" t="s">
        <v>575</v>
      </c>
      <c r="B85" s="26" t="str">
        <f t="shared" si="2"/>
        <v>Gesamtfläche</v>
      </c>
      <c r="C85" s="26" t="s">
        <v>846</v>
      </c>
      <c r="D85" s="26" t="s">
        <v>555</v>
      </c>
      <c r="E85" s="26" t="s">
        <v>847</v>
      </c>
      <c r="F85" s="26" t="s">
        <v>554</v>
      </c>
    </row>
    <row r="86" spans="1:6" x14ac:dyDescent="0.2">
      <c r="A86" s="26" t="s">
        <v>576</v>
      </c>
      <c r="B86" s="26" t="str">
        <f t="shared" si="2"/>
        <v>Resultat</v>
      </c>
      <c r="C86" s="26" t="s">
        <v>556</v>
      </c>
      <c r="D86" s="26" t="s">
        <v>557</v>
      </c>
      <c r="E86" s="26" t="s">
        <v>558</v>
      </c>
      <c r="F86" s="26" t="s">
        <v>559</v>
      </c>
    </row>
    <row r="87" spans="1:6" x14ac:dyDescent="0.2">
      <c r="A87" s="26" t="s">
        <v>577</v>
      </c>
      <c r="B87" s="26" t="str">
        <f t="shared" si="2"/>
        <v>Gesamtfläche</v>
      </c>
      <c r="C87" s="26" t="s">
        <v>846</v>
      </c>
      <c r="D87" s="26" t="s">
        <v>555</v>
      </c>
      <c r="E87" s="26" t="s">
        <v>847</v>
      </c>
      <c r="F87" s="26" t="s">
        <v>554</v>
      </c>
    </row>
    <row r="88" spans="1:6" x14ac:dyDescent="0.2">
      <c r="A88" s="26" t="s">
        <v>578</v>
      </c>
      <c r="B88" s="26" t="str">
        <f t="shared" si="2"/>
        <v>Gesamtfläche</v>
      </c>
      <c r="C88" s="26" t="s">
        <v>846</v>
      </c>
      <c r="D88" s="26" t="s">
        <v>555</v>
      </c>
      <c r="E88" s="26" t="s">
        <v>847</v>
      </c>
      <c r="F88" s="26" t="s">
        <v>554</v>
      </c>
    </row>
    <row r="89" spans="1:6" x14ac:dyDescent="0.2">
      <c r="A89" s="26" t="s">
        <v>579</v>
      </c>
      <c r="B89" s="26" t="str">
        <f t="shared" si="2"/>
        <v>Resultat</v>
      </c>
      <c r="C89" s="26" t="s">
        <v>556</v>
      </c>
      <c r="D89" s="26" t="s">
        <v>557</v>
      </c>
      <c r="E89" s="26" t="s">
        <v>558</v>
      </c>
      <c r="F89" s="26" t="s">
        <v>559</v>
      </c>
    </row>
    <row r="90" spans="1:6" x14ac:dyDescent="0.2">
      <c r="A90" s="26" t="s">
        <v>580</v>
      </c>
      <c r="B90" s="26" t="str">
        <f t="shared" si="2"/>
        <v>Resultat</v>
      </c>
      <c r="C90" s="26" t="s">
        <v>556</v>
      </c>
      <c r="D90" s="26" t="s">
        <v>557</v>
      </c>
      <c r="E90" s="26" t="s">
        <v>558</v>
      </c>
      <c r="F90" s="26" t="s">
        <v>559</v>
      </c>
    </row>
    <row r="91" spans="1:6" x14ac:dyDescent="0.2">
      <c r="A91" s="26" t="s">
        <v>581</v>
      </c>
      <c r="B91" s="26" t="str">
        <f t="shared" si="2"/>
        <v xml:space="preserve">Tageslicht-Erfüllungsgrad über alle Räume (Erfüllungsgrad mindestens </v>
      </c>
      <c r="C91" s="26" t="s">
        <v>209</v>
      </c>
      <c r="D91" s="26" t="s">
        <v>271</v>
      </c>
      <c r="E91" s="26" t="s">
        <v>720</v>
      </c>
      <c r="F91" s="26" t="s">
        <v>441</v>
      </c>
    </row>
    <row r="92" spans="1:6" x14ac:dyDescent="0.2">
      <c r="A92" s="26" t="s">
        <v>582</v>
      </c>
      <c r="B92" s="26" t="str">
        <f t="shared" si="2"/>
        <v xml:space="preserve">Anteil der Raumfläche mit ungenügendem Ergebnis (maximal </v>
      </c>
      <c r="C92" s="26" t="s">
        <v>210</v>
      </c>
      <c r="D92" s="26" t="s">
        <v>272</v>
      </c>
      <c r="E92" s="26" t="s">
        <v>751</v>
      </c>
      <c r="F92" s="26" t="s">
        <v>752</v>
      </c>
    </row>
    <row r="93" spans="1:6" x14ac:dyDescent="0.2">
      <c r="A93" s="26" t="s">
        <v>583</v>
      </c>
      <c r="B93" s="26" t="str">
        <f t="shared" si="2"/>
        <v>Die Anforderungen von MINERGIE-ECO sind</v>
      </c>
      <c r="C93" s="26" t="s">
        <v>134</v>
      </c>
      <c r="D93" s="26" t="s">
        <v>380</v>
      </c>
      <c r="E93" s="26" t="s">
        <v>381</v>
      </c>
      <c r="F93" s="26" t="s">
        <v>442</v>
      </c>
    </row>
    <row r="95" spans="1:6" x14ac:dyDescent="0.2">
      <c r="A95" s="39" t="s">
        <v>908</v>
      </c>
      <c r="B95" s="39"/>
      <c r="C95" s="39"/>
      <c r="D95" s="39"/>
      <c r="E95" s="39"/>
      <c r="F95" s="39"/>
    </row>
    <row r="96" spans="1:6" x14ac:dyDescent="0.2">
      <c r="A96" s="39" t="s">
        <v>167</v>
      </c>
      <c r="B96" s="39" t="s">
        <v>168</v>
      </c>
      <c r="C96" s="39" t="str">
        <f>C$4</f>
        <v>Deutsch</v>
      </c>
      <c r="D96" s="39" t="str">
        <f>D$4</f>
        <v>Francais</v>
      </c>
      <c r="E96" s="39" t="str">
        <f>E$4</f>
        <v>Italiano</v>
      </c>
      <c r="F96" s="39" t="str">
        <f>F$4</f>
        <v>English</v>
      </c>
    </row>
    <row r="97" spans="1:6" x14ac:dyDescent="0.2">
      <c r="A97" s="26" t="s">
        <v>171</v>
      </c>
      <c r="B97" s="26" t="str">
        <f t="shared" ref="B97:B121" si="3">INDEX($C97:$F97,1,MATCH(Sprachwahl,ListSprache,0))</f>
        <v>Typische Räume und Ausblick</v>
      </c>
      <c r="C97" s="26" t="s">
        <v>930</v>
      </c>
      <c r="D97" s="26" t="s">
        <v>931</v>
      </c>
      <c r="E97" s="26" t="s">
        <v>933</v>
      </c>
      <c r="F97" s="26" t="s">
        <v>932</v>
      </c>
    </row>
    <row r="98" spans="1:6" x14ac:dyDescent="0.2">
      <c r="A98" s="26" t="s">
        <v>201</v>
      </c>
      <c r="B98" s="26" t="str">
        <f t="shared" si="3"/>
        <v>Typische Räume</v>
      </c>
      <c r="C98" s="26" t="s">
        <v>7</v>
      </c>
      <c r="D98" s="26" t="s">
        <v>257</v>
      </c>
      <c r="E98" s="26" t="s">
        <v>372</v>
      </c>
      <c r="F98" s="26" t="s">
        <v>416</v>
      </c>
    </row>
    <row r="99" spans="1:6" x14ac:dyDescent="0.2">
      <c r="A99" s="26" t="s">
        <v>951</v>
      </c>
      <c r="B99" s="26" t="str">
        <f t="shared" si="3"/>
        <v>Raumdaten</v>
      </c>
      <c r="C99" s="26" t="s">
        <v>67</v>
      </c>
      <c r="D99" s="26" t="s">
        <v>263</v>
      </c>
      <c r="E99" s="26" t="s">
        <v>373</v>
      </c>
      <c r="F99" s="26" t="s">
        <v>418</v>
      </c>
    </row>
    <row r="100" spans="1:6" x14ac:dyDescent="0.2">
      <c r="A100" s="26" t="s">
        <v>839</v>
      </c>
      <c r="B100" s="26" t="str">
        <f t="shared" si="3"/>
        <v>Res.</v>
      </c>
      <c r="C100" s="26" t="s">
        <v>838</v>
      </c>
      <c r="D100" s="26" t="s">
        <v>840</v>
      </c>
      <c r="E100" s="26" t="s">
        <v>841</v>
      </c>
      <c r="F100" s="26" t="s">
        <v>838</v>
      </c>
    </row>
    <row r="101" spans="1:6" x14ac:dyDescent="0.2">
      <c r="A101" s="26" t="s">
        <v>211</v>
      </c>
      <c r="B101" s="26" t="str">
        <f t="shared" si="3"/>
        <v>Nr.</v>
      </c>
      <c r="C101" s="26" t="s">
        <v>50</v>
      </c>
      <c r="D101" s="26" t="s">
        <v>50</v>
      </c>
      <c r="E101" s="26" t="s">
        <v>50</v>
      </c>
      <c r="F101" s="26" t="s">
        <v>417</v>
      </c>
    </row>
    <row r="102" spans="1:6" x14ac:dyDescent="0.2">
      <c r="A102" s="26" t="s">
        <v>192</v>
      </c>
      <c r="B102" s="26" t="str">
        <f t="shared" si="3"/>
        <v>Raumbezeichnung
-</v>
      </c>
      <c r="C102" s="26" t="s">
        <v>737</v>
      </c>
      <c r="D102" s="26" t="s">
        <v>738</v>
      </c>
      <c r="E102" s="26" t="s">
        <v>739</v>
      </c>
      <c r="F102" s="26" t="s">
        <v>740</v>
      </c>
    </row>
    <row r="103" spans="1:6" x14ac:dyDescent="0.2">
      <c r="A103" s="26" t="s">
        <v>193</v>
      </c>
      <c r="B103" s="26" t="str">
        <f t="shared" si="3"/>
        <v>Tiefe genutzter Bereich 
m</v>
      </c>
      <c r="C103" s="26" t="s">
        <v>892</v>
      </c>
      <c r="D103" s="26" t="s">
        <v>938</v>
      </c>
      <c r="E103" s="26" t="s">
        <v>935</v>
      </c>
      <c r="F103" s="26" t="s">
        <v>937</v>
      </c>
    </row>
    <row r="104" spans="1:6" x14ac:dyDescent="0.2">
      <c r="A104" s="26" t="s">
        <v>194</v>
      </c>
      <c r="B104" s="26" t="str">
        <f t="shared" si="3"/>
        <v>Sichtweite
m</v>
      </c>
      <c r="C104" s="26" t="s">
        <v>905</v>
      </c>
      <c r="D104" s="26" t="s">
        <v>942</v>
      </c>
      <c r="E104" s="26" t="s">
        <v>943</v>
      </c>
      <c r="F104" s="26" t="s">
        <v>944</v>
      </c>
    </row>
    <row r="105" spans="1:6" x14ac:dyDescent="0.2">
      <c r="A105" s="26" t="s">
        <v>195</v>
      </c>
      <c r="B105" s="26" t="str">
        <f t="shared" si="3"/>
        <v>Sichtebenen
-</v>
      </c>
      <c r="C105" s="26" t="s">
        <v>894</v>
      </c>
      <c r="D105" s="26" t="s">
        <v>989</v>
      </c>
      <c r="E105" s="26" t="s">
        <v>945</v>
      </c>
      <c r="F105" s="26" t="s">
        <v>946</v>
      </c>
    </row>
    <row r="106" spans="1:6" x14ac:dyDescent="0.2">
      <c r="A106" s="26" t="s">
        <v>197</v>
      </c>
      <c r="B106" s="26" t="str">
        <f t="shared" si="3"/>
        <v>Resultat
-</v>
      </c>
      <c r="C106" s="26" t="s">
        <v>952</v>
      </c>
      <c r="D106" s="26" t="s">
        <v>953</v>
      </c>
      <c r="E106" s="26" t="s">
        <v>954</v>
      </c>
      <c r="F106" s="26" t="s">
        <v>955</v>
      </c>
    </row>
    <row r="107" spans="1:6" x14ac:dyDescent="0.2">
      <c r="A107" s="26" t="s">
        <v>198</v>
      </c>
      <c r="B107" s="26" t="str">
        <f t="shared" si="3"/>
        <v>Resultat
Pt.</v>
      </c>
      <c r="C107" s="26" t="s">
        <v>979</v>
      </c>
      <c r="D107" s="26" t="s">
        <v>980</v>
      </c>
      <c r="E107" s="26" t="s">
        <v>981</v>
      </c>
      <c r="F107" s="26" t="s">
        <v>982</v>
      </c>
    </row>
    <row r="108" spans="1:6" x14ac:dyDescent="0.2">
      <c r="A108" s="26" t="s">
        <v>570</v>
      </c>
      <c r="B108" s="26" t="str">
        <f t="shared" si="3"/>
        <v>Ergebnisse</v>
      </c>
      <c r="C108" s="26" t="s">
        <v>124</v>
      </c>
      <c r="D108" s="26" t="s">
        <v>270</v>
      </c>
      <c r="E108" s="26" t="s">
        <v>379</v>
      </c>
      <c r="F108" s="26" t="s">
        <v>423</v>
      </c>
    </row>
    <row r="109" spans="1:6" x14ac:dyDescent="0.2">
      <c r="A109" s="26" t="s">
        <v>974</v>
      </c>
      <c r="B109" s="26" t="str">
        <f t="shared" si="3"/>
        <v>Resultate aus diesem Blatt</v>
      </c>
      <c r="C109" s="26" t="s">
        <v>608</v>
      </c>
      <c r="D109" s="26" t="s">
        <v>561</v>
      </c>
      <c r="E109" s="26" t="s">
        <v>718</v>
      </c>
      <c r="F109" s="26" t="s">
        <v>562</v>
      </c>
    </row>
    <row r="110" spans="1:6" x14ac:dyDescent="0.2">
      <c r="A110" s="26" t="s">
        <v>971</v>
      </c>
      <c r="B110" s="26" t="str">
        <f t="shared" si="3"/>
        <v>Übertrag aus anderen Blättern</v>
      </c>
      <c r="C110" s="26" t="s">
        <v>609</v>
      </c>
      <c r="D110" s="26" t="s">
        <v>552</v>
      </c>
      <c r="E110" s="26" t="s">
        <v>719</v>
      </c>
      <c r="F110" s="26" t="s">
        <v>553</v>
      </c>
    </row>
    <row r="111" spans="1:6" x14ac:dyDescent="0.2">
      <c r="A111" s="26" t="s">
        <v>975</v>
      </c>
      <c r="B111" s="26" t="str">
        <f t="shared" si="3"/>
        <v>Gesamtresultat</v>
      </c>
      <c r="C111" s="26" t="s">
        <v>566</v>
      </c>
      <c r="D111" s="26" t="s">
        <v>567</v>
      </c>
      <c r="E111" s="26" t="s">
        <v>568</v>
      </c>
      <c r="F111" s="26" t="s">
        <v>569</v>
      </c>
    </row>
    <row r="112" spans="1:6" x14ac:dyDescent="0.2">
      <c r="A112" s="26" t="s">
        <v>574</v>
      </c>
      <c r="B112" s="26" t="str">
        <f t="shared" si="3"/>
        <v>Bezeichnung</v>
      </c>
      <c r="C112" s="26" t="s">
        <v>75</v>
      </c>
      <c r="D112" s="26" t="s">
        <v>563</v>
      </c>
      <c r="E112" s="26" t="s">
        <v>564</v>
      </c>
      <c r="F112" s="26" t="s">
        <v>565</v>
      </c>
    </row>
    <row r="113" spans="1:6" x14ac:dyDescent="0.2">
      <c r="A113" s="26" t="s">
        <v>976</v>
      </c>
      <c r="B113" s="26" t="str">
        <f t="shared" si="3"/>
        <v>Gesamtfläche</v>
      </c>
      <c r="C113" s="26" t="s">
        <v>846</v>
      </c>
      <c r="D113" s="26" t="s">
        <v>555</v>
      </c>
      <c r="E113" s="26" t="s">
        <v>847</v>
      </c>
      <c r="F113" s="26" t="s">
        <v>554</v>
      </c>
    </row>
    <row r="114" spans="1:6" x14ac:dyDescent="0.2">
      <c r="A114" s="26" t="s">
        <v>977</v>
      </c>
      <c r="B114" s="26" t="str">
        <f t="shared" si="3"/>
        <v>Resultat</v>
      </c>
      <c r="C114" s="26" t="s">
        <v>556</v>
      </c>
      <c r="D114" s="26" t="s">
        <v>557</v>
      </c>
      <c r="E114" s="26" t="s">
        <v>558</v>
      </c>
      <c r="F114" s="26" t="s">
        <v>559</v>
      </c>
    </row>
    <row r="115" spans="1:6" x14ac:dyDescent="0.2">
      <c r="A115" s="26" t="s">
        <v>972</v>
      </c>
      <c r="B115" s="26" t="str">
        <f t="shared" si="3"/>
        <v>Gesamtfläche</v>
      </c>
      <c r="C115" s="26" t="s">
        <v>846</v>
      </c>
      <c r="D115" s="26" t="s">
        <v>555</v>
      </c>
      <c r="E115" s="26" t="s">
        <v>847</v>
      </c>
      <c r="F115" s="26" t="s">
        <v>554</v>
      </c>
    </row>
    <row r="116" spans="1:6" x14ac:dyDescent="0.2">
      <c r="A116" s="26" t="s">
        <v>973</v>
      </c>
      <c r="B116" s="26" t="str">
        <f t="shared" si="3"/>
        <v>Gesamtfläche</v>
      </c>
      <c r="C116" s="26" t="s">
        <v>846</v>
      </c>
      <c r="D116" s="26" t="s">
        <v>555</v>
      </c>
      <c r="E116" s="26" t="s">
        <v>847</v>
      </c>
      <c r="F116" s="26" t="s">
        <v>554</v>
      </c>
    </row>
    <row r="117" spans="1:6" x14ac:dyDescent="0.2">
      <c r="A117" s="26" t="s">
        <v>575</v>
      </c>
      <c r="B117" s="26" t="str">
        <f t="shared" si="3"/>
        <v>Resultat</v>
      </c>
      <c r="C117" s="26" t="s">
        <v>556</v>
      </c>
      <c r="D117" s="26" t="s">
        <v>557</v>
      </c>
      <c r="E117" s="26" t="s">
        <v>558</v>
      </c>
      <c r="F117" s="26" t="s">
        <v>559</v>
      </c>
    </row>
    <row r="118" spans="1:6" x14ac:dyDescent="0.2">
      <c r="A118" s="26" t="s">
        <v>576</v>
      </c>
      <c r="B118" s="26" t="str">
        <f t="shared" si="3"/>
        <v>Resultat</v>
      </c>
      <c r="C118" s="26" t="s">
        <v>556</v>
      </c>
      <c r="D118" s="26" t="s">
        <v>557</v>
      </c>
      <c r="E118" s="26" t="s">
        <v>558</v>
      </c>
      <c r="F118" s="26" t="s">
        <v>559</v>
      </c>
    </row>
    <row r="119" spans="1:6" x14ac:dyDescent="0.2">
      <c r="A119" s="26" t="s">
        <v>581</v>
      </c>
      <c r="B119" s="26" t="str">
        <f t="shared" si="3"/>
        <v>Qualität des Ausblicks (über alle Räume)</v>
      </c>
      <c r="C119" s="26" t="s">
        <v>948</v>
      </c>
      <c r="D119" s="26" t="s">
        <v>947</v>
      </c>
      <c r="E119" s="26" t="s">
        <v>949</v>
      </c>
      <c r="F119" s="26" t="s">
        <v>950</v>
      </c>
    </row>
    <row r="120" spans="1:6" x14ac:dyDescent="0.2">
      <c r="A120" s="26" t="s">
        <v>582</v>
      </c>
      <c r="B120" s="26" t="str">
        <f t="shared" si="3"/>
        <v xml:space="preserve">Anteil der Raumfläche mit ungenügendem Ergebnis (maximal </v>
      </c>
      <c r="C120" s="26" t="s">
        <v>210</v>
      </c>
      <c r="D120" s="26" t="s">
        <v>272</v>
      </c>
      <c r="E120" s="26" t="s">
        <v>751</v>
      </c>
      <c r="F120" s="26" t="s">
        <v>752</v>
      </c>
    </row>
    <row r="121" spans="1:6" x14ac:dyDescent="0.2">
      <c r="A121" s="26" t="s">
        <v>583</v>
      </c>
      <c r="B121" s="26" t="str">
        <f t="shared" si="3"/>
        <v>Die Anforderungen von MINERGIE-ECO sind</v>
      </c>
      <c r="C121" s="26" t="s">
        <v>134</v>
      </c>
      <c r="D121" s="26" t="s">
        <v>380</v>
      </c>
      <c r="E121" s="26" t="s">
        <v>381</v>
      </c>
      <c r="F121" s="26" t="s">
        <v>442</v>
      </c>
    </row>
    <row r="123" spans="1:6" x14ac:dyDescent="0.2">
      <c r="A123" s="39" t="s">
        <v>220</v>
      </c>
      <c r="B123" s="39"/>
      <c r="C123" s="39"/>
      <c r="D123" s="39"/>
      <c r="E123" s="39"/>
      <c r="F123" s="39"/>
    </row>
    <row r="124" spans="1:6" x14ac:dyDescent="0.2">
      <c r="A124" s="39" t="s">
        <v>167</v>
      </c>
      <c r="B124" s="39" t="s">
        <v>168</v>
      </c>
      <c r="C124" s="39" t="str">
        <f>C$4</f>
        <v>Deutsch</v>
      </c>
      <c r="D124" s="39" t="str">
        <f>D$4</f>
        <v>Francais</v>
      </c>
      <c r="E124" s="39" t="str">
        <f>E$4</f>
        <v>Italiano</v>
      </c>
      <c r="F124" s="39" t="str">
        <f>F$4</f>
        <v>English</v>
      </c>
    </row>
    <row r="125" spans="1:6" x14ac:dyDescent="0.2">
      <c r="A125" s="26" t="s">
        <v>171</v>
      </c>
      <c r="B125" s="26" t="str">
        <f t="shared" ref="B125:B143" si="4">INDEX($C125:$F125,1,MATCH(Sprachwahl,ListSprache,0))</f>
        <v>Fragenkatalog für Modernisierungen</v>
      </c>
      <c r="C125" s="26" t="s">
        <v>221</v>
      </c>
      <c r="D125" s="26" t="s">
        <v>273</v>
      </c>
      <c r="E125" s="26" t="s">
        <v>424</v>
      </c>
      <c r="F125" s="26" t="s">
        <v>443</v>
      </c>
    </row>
    <row r="126" spans="1:6" x14ac:dyDescent="0.2">
      <c r="A126" s="26" t="s">
        <v>170</v>
      </c>
      <c r="B126" s="26" t="str">
        <f t="shared" si="4"/>
        <v>Fragen</v>
      </c>
      <c r="C126" s="26" t="s">
        <v>51</v>
      </c>
      <c r="D126" s="26" t="s">
        <v>274</v>
      </c>
      <c r="E126" s="26" t="s">
        <v>425</v>
      </c>
      <c r="F126" s="26" t="s">
        <v>444</v>
      </c>
    </row>
    <row r="127" spans="1:6" x14ac:dyDescent="0.2">
      <c r="A127" s="26" t="s">
        <v>225</v>
      </c>
      <c r="B127" s="26" t="str">
        <f t="shared" si="4"/>
        <v>Antwort</v>
      </c>
      <c r="C127" s="26" t="s">
        <v>52</v>
      </c>
      <c r="D127" s="26" t="s">
        <v>275</v>
      </c>
      <c r="E127" s="26" t="s">
        <v>426</v>
      </c>
      <c r="F127" s="26" t="s">
        <v>445</v>
      </c>
    </row>
    <row r="128" spans="1:6" x14ac:dyDescent="0.2">
      <c r="A128" s="26" t="s">
        <v>172</v>
      </c>
      <c r="B128" s="26" t="str">
        <f t="shared" si="4"/>
        <v>Werden die Fensteröffnungen grundsätzlich beibehalten oder vergrössert?</v>
      </c>
      <c r="C128" s="26" t="s">
        <v>55</v>
      </c>
      <c r="D128" s="26" t="s">
        <v>276</v>
      </c>
      <c r="E128" s="26" t="s">
        <v>427</v>
      </c>
      <c r="F128" s="26" t="s">
        <v>446</v>
      </c>
    </row>
    <row r="129" spans="1:6" x14ac:dyDescent="0.2">
      <c r="A129" s="26" t="s">
        <v>226</v>
      </c>
      <c r="B129" s="26" t="str">
        <f t="shared" si="4"/>
        <v>Werden die Glasflächen grundsätzlich beibehalten oder vergrössert?</v>
      </c>
      <c r="C129" s="26" t="s">
        <v>56</v>
      </c>
      <c r="D129" s="26" t="s">
        <v>277</v>
      </c>
      <c r="E129" s="26" t="s">
        <v>428</v>
      </c>
      <c r="F129" s="26" t="s">
        <v>447</v>
      </c>
    </row>
    <row r="130" spans="1:6" x14ac:dyDescent="0.2">
      <c r="A130" s="26" t="s">
        <v>227</v>
      </c>
      <c r="B130" s="26" t="str">
        <f t="shared" si="4"/>
        <v>Wurde bei der Wahl der Verglasung auf einen hohen Transmissionswert geachtet?</v>
      </c>
      <c r="C130" s="26" t="s">
        <v>57</v>
      </c>
      <c r="D130" s="26" t="s">
        <v>278</v>
      </c>
      <c r="E130" s="26" t="s">
        <v>429</v>
      </c>
      <c r="F130" s="26" t="s">
        <v>448</v>
      </c>
    </row>
    <row r="131" spans="1:6" x14ac:dyDescent="0.2">
      <c r="A131" s="26" t="s">
        <v>174</v>
      </c>
      <c r="B131" s="26" t="str">
        <f t="shared" si="4"/>
        <v>Werden keine Elemente (z.B. Balkone, Vordächer) an die Fassade gebaut, welche den Tageslichteinfall verschlechtert?</v>
      </c>
      <c r="C131" s="26" t="s">
        <v>60</v>
      </c>
      <c r="D131" s="26" t="s">
        <v>279</v>
      </c>
      <c r="E131" s="26" t="s">
        <v>882</v>
      </c>
      <c r="F131" s="26" t="s">
        <v>449</v>
      </c>
    </row>
    <row r="132" spans="1:6" x14ac:dyDescent="0.2">
      <c r="A132" s="26" t="s">
        <v>228</v>
      </c>
      <c r="B132" s="26" t="str">
        <f t="shared" si="4"/>
        <v>Wurden die Räume grundsätzlich (mind. Decken und Wände) mit heller Farben gestrichen?</v>
      </c>
      <c r="C132" s="26" t="s">
        <v>58</v>
      </c>
      <c r="D132" s="26" t="s">
        <v>280</v>
      </c>
      <c r="E132" s="26" t="s">
        <v>430</v>
      </c>
      <c r="F132" s="26" t="s">
        <v>450</v>
      </c>
    </row>
    <row r="133" spans="1:6" x14ac:dyDescent="0.2">
      <c r="A133" s="26" t="s">
        <v>176</v>
      </c>
      <c r="B133" s="26" t="str">
        <f t="shared" si="4"/>
        <v>Zusammenfassung</v>
      </c>
      <c r="C133" s="26" t="s">
        <v>1</v>
      </c>
      <c r="D133" s="26" t="s">
        <v>281</v>
      </c>
      <c r="E133" s="26" t="s">
        <v>365</v>
      </c>
      <c r="F133" s="26" t="s">
        <v>451</v>
      </c>
    </row>
    <row r="134" spans="1:6" x14ac:dyDescent="0.2">
      <c r="A134" s="26" t="s">
        <v>229</v>
      </c>
      <c r="B134" s="26" t="str">
        <f t="shared" si="4"/>
        <v xml:space="preserve">                                                                  DIESES ARBEITSBLATT IST NUR BEI MODERNISIERUNGSPROJEKTEN AUSZUFÜLLEN</v>
      </c>
      <c r="C134" s="26" t="s">
        <v>222</v>
      </c>
      <c r="D134" s="26" t="s">
        <v>282</v>
      </c>
      <c r="E134" s="26" t="s">
        <v>431</v>
      </c>
      <c r="F134" s="26" t="s">
        <v>452</v>
      </c>
    </row>
    <row r="135" spans="1:6" x14ac:dyDescent="0.2">
      <c r="A135" s="26" t="s">
        <v>229</v>
      </c>
      <c r="B135" s="26" t="str">
        <f t="shared" si="4"/>
        <v>Die Anforderungen von MINERGIE-ECO an Modernisierungen sind erfüllt. Es wird automatisch ein Tageslichterfüllungsgrad von 50% angenommen (genügend)</v>
      </c>
      <c r="C135" s="26" t="s">
        <v>223</v>
      </c>
      <c r="D135" s="26" t="s">
        <v>283</v>
      </c>
      <c r="E135" s="26" t="s">
        <v>432</v>
      </c>
      <c r="F135" s="26" t="s">
        <v>454</v>
      </c>
    </row>
    <row r="136" spans="1:6" x14ac:dyDescent="0.2">
      <c r="A136" s="26" t="s">
        <v>229</v>
      </c>
      <c r="B136" s="26" t="str">
        <f t="shared" si="4"/>
        <v>Bitte füllen Sie das Arbeitsblatt 'Tageslicht' für den Zustand nach der Modernisierung aus und bestimmen sie eine Gebäudekategorie die ihrem Gebäude am nächsten kommt:</v>
      </c>
      <c r="C136" s="26" t="s">
        <v>224</v>
      </c>
      <c r="D136" s="26" t="s">
        <v>284</v>
      </c>
      <c r="E136" s="26" t="s">
        <v>433</v>
      </c>
      <c r="F136" s="26" t="s">
        <v>453</v>
      </c>
    </row>
    <row r="137" spans="1:6" x14ac:dyDescent="0.2">
      <c r="A137" s="26" t="s">
        <v>230</v>
      </c>
      <c r="B137" s="26" t="str">
        <f t="shared" si="4"/>
        <v>Gebäudekategorie (Auswahl durch Anklicken der entsprechenden Schaltfläche)</v>
      </c>
      <c r="C137" s="26" t="s">
        <v>848</v>
      </c>
      <c r="D137" s="26" t="s">
        <v>849</v>
      </c>
      <c r="E137" s="26" t="s">
        <v>851</v>
      </c>
      <c r="F137" s="26" t="s">
        <v>850</v>
      </c>
    </row>
    <row r="138" spans="1:6" x14ac:dyDescent="0.2">
      <c r="A138" s="26" t="s">
        <v>178</v>
      </c>
      <c r="B138" s="26" t="str">
        <f t="shared" si="4"/>
        <v>Wohnen</v>
      </c>
      <c r="C138" s="26" t="s">
        <v>32</v>
      </c>
      <c r="D138" s="26" t="s">
        <v>285</v>
      </c>
      <c r="E138" s="26" t="s">
        <v>434</v>
      </c>
      <c r="F138" s="26" t="s">
        <v>455</v>
      </c>
    </row>
    <row r="139" spans="1:6" x14ac:dyDescent="0.2">
      <c r="A139" s="26" t="s">
        <v>235</v>
      </c>
      <c r="B139" s="26" t="str">
        <f t="shared" si="4"/>
        <v>Verwaltung</v>
      </c>
      <c r="C139" s="26" t="s">
        <v>59</v>
      </c>
      <c r="D139" s="26" t="s">
        <v>286</v>
      </c>
      <c r="E139" s="26" t="s">
        <v>435</v>
      </c>
      <c r="F139" s="26" t="s">
        <v>456</v>
      </c>
    </row>
    <row r="140" spans="1:6" x14ac:dyDescent="0.2">
      <c r="A140" s="26" t="s">
        <v>236</v>
      </c>
      <c r="B140" s="26" t="str">
        <f t="shared" si="4"/>
        <v>Schule</v>
      </c>
      <c r="C140" s="26" t="s">
        <v>15</v>
      </c>
      <c r="D140" s="26" t="s">
        <v>287</v>
      </c>
      <c r="E140" s="26" t="s">
        <v>436</v>
      </c>
      <c r="F140" s="26" t="s">
        <v>457</v>
      </c>
    </row>
    <row r="141" spans="1:6" x14ac:dyDescent="0.2">
      <c r="A141" s="26" t="s">
        <v>237</v>
      </c>
      <c r="B141" s="26" t="str">
        <f t="shared" si="4"/>
        <v>Gebäude mit einem eher kleinen Anteil Fenster- an Fassadenfläche</v>
      </c>
      <c r="C141" s="26" t="s">
        <v>61</v>
      </c>
      <c r="D141" s="26" t="s">
        <v>288</v>
      </c>
      <c r="E141" s="26" t="s">
        <v>437</v>
      </c>
      <c r="F141" s="26" t="s">
        <v>458</v>
      </c>
    </row>
    <row r="142" spans="1:6" x14ac:dyDescent="0.2">
      <c r="A142" s="26" t="s">
        <v>238</v>
      </c>
      <c r="B142" s="26" t="str">
        <f t="shared" si="4"/>
        <v>Gebäude mit einem mittleren Anteil Fenster- an Fassadenfläche</v>
      </c>
      <c r="C142" s="26" t="s">
        <v>62</v>
      </c>
      <c r="D142" s="26" t="s">
        <v>289</v>
      </c>
      <c r="E142" s="26" t="s">
        <v>438</v>
      </c>
      <c r="F142" s="26" t="s">
        <v>459</v>
      </c>
    </row>
    <row r="143" spans="1:6" x14ac:dyDescent="0.2">
      <c r="A143" s="26" t="s">
        <v>239</v>
      </c>
      <c r="B143" s="26" t="str">
        <f t="shared" si="4"/>
        <v>Gebäude mit einem grossen Anteil Fenster- an Fassadenfläche</v>
      </c>
      <c r="C143" s="26" t="s">
        <v>63</v>
      </c>
      <c r="D143" s="26" t="s">
        <v>290</v>
      </c>
      <c r="E143" s="26" t="s">
        <v>439</v>
      </c>
      <c r="F143" s="26" t="s">
        <v>460</v>
      </c>
    </row>
    <row r="145" spans="1:6" x14ac:dyDescent="0.2">
      <c r="A145" s="39" t="s">
        <v>218</v>
      </c>
      <c r="B145" s="39"/>
      <c r="C145" s="39"/>
      <c r="D145" s="39"/>
      <c r="E145" s="39"/>
      <c r="F145" s="39"/>
    </row>
    <row r="146" spans="1:6" x14ac:dyDescent="0.2">
      <c r="A146" s="39" t="s">
        <v>167</v>
      </c>
      <c r="B146" s="39" t="s">
        <v>168</v>
      </c>
      <c r="C146" s="39" t="str">
        <f>C$4</f>
        <v>Deutsch</v>
      </c>
      <c r="D146" s="39" t="str">
        <f>D$4</f>
        <v>Francais</v>
      </c>
      <c r="E146" s="39" t="str">
        <f>E$4</f>
        <v>Italiano</v>
      </c>
      <c r="F146" s="39" t="str">
        <f>F$4</f>
        <v>English</v>
      </c>
    </row>
    <row r="147" spans="1:6" x14ac:dyDescent="0.2">
      <c r="A147" s="26" t="s">
        <v>88</v>
      </c>
      <c r="B147" s="26" t="str">
        <f t="shared" ref="B147:B180" si="5">INDEX($C147:$F147,1,MATCH(Sprachwahl,ListSprache,0))</f>
        <v>Ausstellungshalle</v>
      </c>
      <c r="C147" s="14" t="s">
        <v>17</v>
      </c>
      <c r="D147" s="28" t="s">
        <v>309</v>
      </c>
      <c r="E147" s="93" t="s">
        <v>481</v>
      </c>
      <c r="F147" s="26" t="s">
        <v>502</v>
      </c>
    </row>
    <row r="148" spans="1:6" x14ac:dyDescent="0.2">
      <c r="B148" s="26" t="str">
        <f t="shared" si="5"/>
        <v>Behandlungsraum (Spital)</v>
      </c>
      <c r="C148" s="28" t="s">
        <v>484</v>
      </c>
      <c r="D148" s="14" t="s">
        <v>310</v>
      </c>
      <c r="E148" s="93" t="s">
        <v>721</v>
      </c>
      <c r="F148" s="26" t="s">
        <v>503</v>
      </c>
    </row>
    <row r="149" spans="1:6" x14ac:dyDescent="0.2">
      <c r="B149" s="26" t="str">
        <f t="shared" si="5"/>
        <v>Bettenzimmer (Spital)</v>
      </c>
      <c r="C149" s="28" t="s">
        <v>304</v>
      </c>
      <c r="D149" s="14" t="s">
        <v>303</v>
      </c>
      <c r="E149" s="93" t="s">
        <v>482</v>
      </c>
      <c r="F149" s="26" t="s">
        <v>654</v>
      </c>
    </row>
    <row r="150" spans="1:6" x14ac:dyDescent="0.2">
      <c r="B150" s="26" t="str">
        <f t="shared" si="5"/>
        <v>Bibliothek</v>
      </c>
      <c r="C150" s="28" t="s">
        <v>92</v>
      </c>
      <c r="D150" s="28" t="s">
        <v>307</v>
      </c>
      <c r="E150" s="93" t="s">
        <v>470</v>
      </c>
      <c r="F150" s="26" t="s">
        <v>504</v>
      </c>
    </row>
    <row r="151" spans="1:6" x14ac:dyDescent="0.2">
      <c r="B151" s="26" t="str">
        <f t="shared" si="5"/>
        <v>Einzel-, Gruppenbüro</v>
      </c>
      <c r="C151" s="28" t="s">
        <v>89</v>
      </c>
      <c r="D151" s="28" t="s">
        <v>306</v>
      </c>
      <c r="E151" s="93" t="s">
        <v>464</v>
      </c>
      <c r="F151" s="26" t="s">
        <v>456</v>
      </c>
    </row>
    <row r="152" spans="1:6" x14ac:dyDescent="0.2">
      <c r="B152" s="26" t="str">
        <f t="shared" si="5"/>
        <v>Fachgeschäft</v>
      </c>
      <c r="C152" s="28" t="s">
        <v>95</v>
      </c>
      <c r="D152" s="26" t="s">
        <v>322</v>
      </c>
      <c r="E152" s="26" t="s">
        <v>489</v>
      </c>
      <c r="F152" s="26" t="s">
        <v>655</v>
      </c>
    </row>
    <row r="153" spans="1:6" x14ac:dyDescent="0.2">
      <c r="B153" s="26" t="str">
        <f t="shared" si="5"/>
        <v>Fitnessraum</v>
      </c>
      <c r="C153" s="14" t="s">
        <v>13</v>
      </c>
      <c r="D153" s="14" t="s">
        <v>311</v>
      </c>
      <c r="E153" s="26" t="s">
        <v>488</v>
      </c>
      <c r="F153" s="26" t="s">
        <v>505</v>
      </c>
    </row>
    <row r="154" spans="1:6" x14ac:dyDescent="0.2">
      <c r="B154" s="26" t="str">
        <f t="shared" si="5"/>
        <v>Grossraumbüro</v>
      </c>
      <c r="C154" s="28" t="s">
        <v>8</v>
      </c>
      <c r="D154" s="28" t="s">
        <v>312</v>
      </c>
      <c r="E154" s="93" t="s">
        <v>465</v>
      </c>
      <c r="F154" s="26" t="s">
        <v>506</v>
      </c>
    </row>
    <row r="155" spans="1:6" x14ac:dyDescent="0.2">
      <c r="B155" s="26" t="str">
        <f t="shared" si="5"/>
        <v>Hörsaal</v>
      </c>
      <c r="C155" s="28" t="s">
        <v>0</v>
      </c>
      <c r="D155" s="28" t="s">
        <v>313</v>
      </c>
      <c r="E155" s="93" t="s">
        <v>471</v>
      </c>
      <c r="F155" s="26" t="s">
        <v>507</v>
      </c>
    </row>
    <row r="156" spans="1:6" x14ac:dyDescent="0.2">
      <c r="B156" s="26" t="str">
        <f t="shared" si="5"/>
        <v>Hotel-Empfang/Lobby</v>
      </c>
      <c r="C156" s="27" t="s">
        <v>14</v>
      </c>
      <c r="D156" s="27" t="s">
        <v>305</v>
      </c>
      <c r="E156" s="94" t="s">
        <v>462</v>
      </c>
      <c r="F156" s="26" t="s">
        <v>508</v>
      </c>
    </row>
    <row r="157" spans="1:6" x14ac:dyDescent="0.2">
      <c r="B157" s="26" t="str">
        <f t="shared" si="5"/>
        <v>Hotelzimmer</v>
      </c>
      <c r="C157" s="27" t="s">
        <v>31</v>
      </c>
      <c r="D157" s="27" t="s">
        <v>299</v>
      </c>
      <c r="E157" s="94" t="s">
        <v>463</v>
      </c>
      <c r="F157" s="26" t="s">
        <v>509</v>
      </c>
    </row>
    <row r="158" spans="1:6" x14ac:dyDescent="0.2">
      <c r="B158" s="26" t="str">
        <f t="shared" si="5"/>
        <v>Küche SB-Restaurant</v>
      </c>
      <c r="C158" s="14" t="s">
        <v>29</v>
      </c>
      <c r="D158" s="28" t="s">
        <v>300</v>
      </c>
      <c r="E158" s="93" t="s">
        <v>478</v>
      </c>
      <c r="F158" s="26" t="s">
        <v>510</v>
      </c>
    </row>
    <row r="159" spans="1:6" x14ac:dyDescent="0.2">
      <c r="B159" s="26" t="str">
        <f t="shared" si="5"/>
        <v>Küche zu Restaurant</v>
      </c>
      <c r="C159" s="14" t="s">
        <v>28</v>
      </c>
      <c r="D159" s="28" t="s">
        <v>301</v>
      </c>
      <c r="E159" s="93" t="s">
        <v>477</v>
      </c>
      <c r="F159" s="26" t="s">
        <v>511</v>
      </c>
    </row>
    <row r="160" spans="1:6" x14ac:dyDescent="0.2">
      <c r="B160" s="26" t="str">
        <f t="shared" si="5"/>
        <v>Küche, Teeküche</v>
      </c>
      <c r="C160" s="19" t="s">
        <v>98</v>
      </c>
      <c r="D160" s="26" t="s">
        <v>326</v>
      </c>
      <c r="E160" s="26" t="s">
        <v>490</v>
      </c>
      <c r="F160" s="26" t="s">
        <v>512</v>
      </c>
    </row>
    <row r="161" spans="2:6" x14ac:dyDescent="0.2">
      <c r="B161" s="26" t="str">
        <f t="shared" si="5"/>
        <v>Laborraum</v>
      </c>
      <c r="C161" s="19" t="s">
        <v>97</v>
      </c>
      <c r="D161" s="26" t="s">
        <v>325</v>
      </c>
      <c r="E161" s="26" t="s">
        <v>487</v>
      </c>
      <c r="F161" s="26" t="s">
        <v>513</v>
      </c>
    </row>
    <row r="162" spans="2:6" x14ac:dyDescent="0.2">
      <c r="B162" s="26" t="str">
        <f t="shared" si="5"/>
        <v>Lebensmittelverkauf</v>
      </c>
      <c r="C162" s="28" t="s">
        <v>94</v>
      </c>
      <c r="D162" s="26" t="s">
        <v>321</v>
      </c>
      <c r="E162" s="26" t="s">
        <v>473</v>
      </c>
      <c r="F162" s="26" t="s">
        <v>514</v>
      </c>
    </row>
    <row r="163" spans="2:6" x14ac:dyDescent="0.2">
      <c r="B163" s="26" t="str">
        <f t="shared" si="5"/>
        <v>Lehrerzimmer</v>
      </c>
      <c r="C163" s="28" t="s">
        <v>91</v>
      </c>
      <c r="D163" s="14" t="s">
        <v>320</v>
      </c>
      <c r="E163" s="93" t="s">
        <v>468</v>
      </c>
      <c r="F163" s="26" t="s">
        <v>515</v>
      </c>
    </row>
    <row r="164" spans="2:6" x14ac:dyDescent="0.2">
      <c r="B164" s="26" t="str">
        <f t="shared" si="5"/>
        <v>Mehrzweckhalle</v>
      </c>
      <c r="C164" s="14" t="s">
        <v>16</v>
      </c>
      <c r="D164" s="26" t="s">
        <v>323</v>
      </c>
      <c r="E164" s="93" t="s">
        <v>480</v>
      </c>
      <c r="F164" s="26" t="s">
        <v>656</v>
      </c>
    </row>
    <row r="165" spans="2:6" x14ac:dyDescent="0.2">
      <c r="B165" s="26" t="str">
        <f t="shared" si="5"/>
        <v>Produktion (feine Arbeit)</v>
      </c>
      <c r="C165" s="14" t="s">
        <v>20</v>
      </c>
      <c r="D165" s="14" t="s">
        <v>314</v>
      </c>
      <c r="E165" s="93" t="s">
        <v>486</v>
      </c>
      <c r="F165" s="26" t="s">
        <v>516</v>
      </c>
    </row>
    <row r="166" spans="2:6" x14ac:dyDescent="0.2">
      <c r="B166" s="26" t="str">
        <f t="shared" si="5"/>
        <v>Produktion (grobe Arbeit)</v>
      </c>
      <c r="C166" s="14" t="s">
        <v>19</v>
      </c>
      <c r="D166" s="14" t="s">
        <v>315</v>
      </c>
      <c r="E166" s="93" t="s">
        <v>485</v>
      </c>
      <c r="F166" s="26" t="s">
        <v>517</v>
      </c>
    </row>
    <row r="167" spans="2:6" x14ac:dyDescent="0.2">
      <c r="B167" s="26" t="str">
        <f t="shared" si="5"/>
        <v>Restaurant</v>
      </c>
      <c r="C167" s="14" t="s">
        <v>11</v>
      </c>
      <c r="D167" s="14" t="s">
        <v>11</v>
      </c>
      <c r="E167" s="26" t="s">
        <v>475</v>
      </c>
      <c r="F167" s="26" t="s">
        <v>11</v>
      </c>
    </row>
    <row r="168" spans="2:6" x14ac:dyDescent="0.2">
      <c r="B168" s="26" t="str">
        <f t="shared" si="5"/>
        <v>Schalterhalle, Empfang</v>
      </c>
      <c r="C168" s="28" t="s">
        <v>90</v>
      </c>
      <c r="D168" s="28" t="s">
        <v>316</v>
      </c>
      <c r="E168" s="93" t="s">
        <v>467</v>
      </c>
      <c r="F168" s="26" t="s">
        <v>657</v>
      </c>
    </row>
    <row r="169" spans="2:6" x14ac:dyDescent="0.2">
      <c r="B169" s="26" t="str">
        <f t="shared" si="5"/>
        <v>Schulfachraum</v>
      </c>
      <c r="C169" s="28" t="s">
        <v>93</v>
      </c>
      <c r="D169" s="28" t="s">
        <v>317</v>
      </c>
      <c r="E169" s="93" t="s">
        <v>472</v>
      </c>
      <c r="F169" s="26" t="s">
        <v>658</v>
      </c>
    </row>
    <row r="170" spans="2:6" x14ac:dyDescent="0.2">
      <c r="B170" s="26" t="str">
        <f t="shared" si="5"/>
        <v>Schulzimmer</v>
      </c>
      <c r="C170" s="28" t="s">
        <v>10</v>
      </c>
      <c r="D170" s="28" t="s">
        <v>308</v>
      </c>
      <c r="E170" s="93" t="s">
        <v>469</v>
      </c>
      <c r="F170" s="26" t="s">
        <v>518</v>
      </c>
    </row>
    <row r="171" spans="2:6" x14ac:dyDescent="0.2">
      <c r="B171" s="26" t="str">
        <f t="shared" si="5"/>
        <v>Schwimmhalle (oberirdisch)</v>
      </c>
      <c r="C171" s="28" t="s">
        <v>1039</v>
      </c>
      <c r="D171" s="28" t="s">
        <v>1049</v>
      </c>
      <c r="E171" s="26" t="s">
        <v>1051</v>
      </c>
      <c r="F171" s="26" t="s">
        <v>1053</v>
      </c>
    </row>
    <row r="172" spans="2:6" x14ac:dyDescent="0.2">
      <c r="B172" s="26" t="str">
        <f t="shared" si="5"/>
        <v>Schwimmhalle (unterirdisch)</v>
      </c>
      <c r="C172" s="28" t="s">
        <v>1042</v>
      </c>
      <c r="D172" s="28" t="s">
        <v>1050</v>
      </c>
      <c r="E172" s="26" t="s">
        <v>1052</v>
      </c>
      <c r="F172" s="26" t="s">
        <v>1054</v>
      </c>
    </row>
    <row r="173" spans="2:6" x14ac:dyDescent="0.2">
      <c r="B173" s="26" t="str">
        <f t="shared" si="5"/>
        <v>Selbstbedienungsrestaurant</v>
      </c>
      <c r="C173" s="14" t="s">
        <v>12</v>
      </c>
      <c r="D173" s="14" t="s">
        <v>302</v>
      </c>
      <c r="E173" s="93" t="s">
        <v>476</v>
      </c>
      <c r="F173" s="26" t="s">
        <v>519</v>
      </c>
    </row>
    <row r="174" spans="2:6" x14ac:dyDescent="0.2">
      <c r="B174" s="26" t="str">
        <f t="shared" si="5"/>
        <v>Sitzungszimmer</v>
      </c>
      <c r="C174" s="28" t="s">
        <v>9</v>
      </c>
      <c r="D174" s="28" t="s">
        <v>318</v>
      </c>
      <c r="E174" s="93" t="s">
        <v>466</v>
      </c>
      <c r="F174" s="26" t="s">
        <v>520</v>
      </c>
    </row>
    <row r="175" spans="2:6" x14ac:dyDescent="0.2">
      <c r="B175" s="26" t="str">
        <f t="shared" si="5"/>
        <v xml:space="preserve">Stationszimmer </v>
      </c>
      <c r="C175" s="14" t="s">
        <v>18</v>
      </c>
      <c r="D175" s="14" t="s">
        <v>319</v>
      </c>
      <c r="E175" s="93" t="s">
        <v>483</v>
      </c>
      <c r="F175" s="26" t="s">
        <v>659</v>
      </c>
    </row>
    <row r="176" spans="2:6" x14ac:dyDescent="0.2">
      <c r="B176" s="26" t="str">
        <f t="shared" si="5"/>
        <v>Turnhalle (oberirdisch)</v>
      </c>
      <c r="C176" s="28" t="s">
        <v>1040</v>
      </c>
      <c r="D176" s="28" t="s">
        <v>1047</v>
      </c>
      <c r="E176" s="26" t="s">
        <v>1048</v>
      </c>
      <c r="F176" s="26" t="s">
        <v>1045</v>
      </c>
    </row>
    <row r="177" spans="1:6" x14ac:dyDescent="0.2">
      <c r="B177" s="26" t="str">
        <f t="shared" si="5"/>
        <v>Turnhalle (unterirdisch)</v>
      </c>
      <c r="C177" s="28" t="s">
        <v>1041</v>
      </c>
      <c r="D177" s="28" t="s">
        <v>1046</v>
      </c>
      <c r="E177" s="26" t="s">
        <v>1043</v>
      </c>
      <c r="F177" s="26" t="s">
        <v>1044</v>
      </c>
    </row>
    <row r="178" spans="1:6" x14ac:dyDescent="0.2">
      <c r="B178" s="26" t="str">
        <f t="shared" si="5"/>
        <v>Verkauf Möbel, Bau, Garten</v>
      </c>
      <c r="C178" s="28" t="s">
        <v>96</v>
      </c>
      <c r="D178" s="26" t="s">
        <v>324</v>
      </c>
      <c r="E178" s="93" t="s">
        <v>474</v>
      </c>
      <c r="F178" s="26" t="s">
        <v>660</v>
      </c>
    </row>
    <row r="179" spans="1:6" x14ac:dyDescent="0.2">
      <c r="B179" s="26" t="str">
        <f t="shared" si="5"/>
        <v>Vorstellungsraum</v>
      </c>
      <c r="C179" s="14" t="s">
        <v>30</v>
      </c>
      <c r="D179" s="26" t="s">
        <v>327</v>
      </c>
      <c r="E179" s="93" t="s">
        <v>479</v>
      </c>
      <c r="F179" s="26" t="s">
        <v>661</v>
      </c>
    </row>
    <row r="180" spans="1:6" x14ac:dyDescent="0.2">
      <c r="B180" s="26" t="str">
        <f t="shared" si="5"/>
        <v>Wohn-, Schlafzimmer</v>
      </c>
      <c r="C180" s="27" t="s">
        <v>102</v>
      </c>
      <c r="D180" s="27" t="s">
        <v>298</v>
      </c>
      <c r="E180" s="26" t="s">
        <v>461</v>
      </c>
      <c r="F180" s="26" t="s">
        <v>662</v>
      </c>
    </row>
    <row r="182" spans="1:6" x14ac:dyDescent="0.2">
      <c r="A182" s="26" t="s">
        <v>116</v>
      </c>
      <c r="B182" s="26" t="str">
        <f>INDEX($C182:$F182,1,MATCH(Sprachwahl,ListSprache,0))</f>
        <v>Hell</v>
      </c>
      <c r="C182" s="19" t="s">
        <v>117</v>
      </c>
      <c r="D182" s="26" t="s">
        <v>328</v>
      </c>
      <c r="E182" s="26" t="s">
        <v>491</v>
      </c>
      <c r="F182" s="26" t="s">
        <v>521</v>
      </c>
    </row>
    <row r="183" spans="1:6" x14ac:dyDescent="0.2">
      <c r="B183" s="26" t="str">
        <f>INDEX($C183:$F183,1,MATCH(Sprachwahl,ListSprache,0))</f>
        <v>Normal</v>
      </c>
      <c r="C183" s="19" t="s">
        <v>119</v>
      </c>
      <c r="D183" s="26" t="s">
        <v>21</v>
      </c>
      <c r="E183" s="26" t="s">
        <v>492</v>
      </c>
      <c r="F183" s="26" t="s">
        <v>21</v>
      </c>
    </row>
    <row r="184" spans="1:6" x14ac:dyDescent="0.2">
      <c r="B184" s="26" t="str">
        <f>INDEX($C184:$F184,1,MATCH(Sprachwahl,ListSprache,0))</f>
        <v>Dunkel</v>
      </c>
      <c r="C184" s="19" t="s">
        <v>118</v>
      </c>
      <c r="D184" s="26" t="s">
        <v>329</v>
      </c>
      <c r="E184" s="26" t="s">
        <v>493</v>
      </c>
      <c r="F184" s="26" t="s">
        <v>522</v>
      </c>
    </row>
    <row r="186" spans="1:6" x14ac:dyDescent="0.2">
      <c r="A186" s="26" t="s">
        <v>73</v>
      </c>
      <c r="B186" s="26" t="str">
        <f>INDEX($C186:$F186,1,MATCH(Sprachwahl,ListSprache,0))</f>
        <v>Helle Lamellen mit Umlenksystem</v>
      </c>
      <c r="C186" s="19" t="s">
        <v>103</v>
      </c>
      <c r="D186" s="26" t="s">
        <v>332</v>
      </c>
      <c r="E186" s="26" t="s">
        <v>542</v>
      </c>
      <c r="F186" s="26" t="s">
        <v>537</v>
      </c>
    </row>
    <row r="187" spans="1:6" x14ac:dyDescent="0.2">
      <c r="B187" s="26" t="str">
        <f>INDEX($C187:$F187,1,MATCH(Sprachwahl,ListSprache,0))</f>
        <v>Helle Lamellen ohne Umlenksystem</v>
      </c>
      <c r="C187" s="19" t="s">
        <v>104</v>
      </c>
      <c r="D187" s="26" t="s">
        <v>333</v>
      </c>
      <c r="E187" s="26" t="s">
        <v>543</v>
      </c>
      <c r="F187" s="26" t="s">
        <v>538</v>
      </c>
    </row>
    <row r="188" spans="1:6" x14ac:dyDescent="0.2">
      <c r="B188" s="26" t="str">
        <f>INDEX($C188:$F188,1,MATCH(Sprachwahl,ListSprache,0))</f>
        <v>Mittelhelle Lamellen, lichtdurchlässiger Stoff</v>
      </c>
      <c r="C188" s="19" t="s">
        <v>105</v>
      </c>
      <c r="D188" s="26" t="s">
        <v>334</v>
      </c>
      <c r="E188" s="26" t="s">
        <v>722</v>
      </c>
      <c r="F188" s="26" t="s">
        <v>539</v>
      </c>
    </row>
    <row r="189" spans="1:6" x14ac:dyDescent="0.2">
      <c r="B189" s="26" t="str">
        <f>INDEX($C189:$F189,1,MATCH(Sprachwahl,ListSprache,0))</f>
        <v>Dunkle Lamellen, wenig durchlässiger Stoff</v>
      </c>
      <c r="C189" s="19" t="s">
        <v>151</v>
      </c>
      <c r="D189" s="26" t="s">
        <v>335</v>
      </c>
      <c r="E189" s="26" t="s">
        <v>723</v>
      </c>
      <c r="F189" s="26" t="s">
        <v>540</v>
      </c>
    </row>
    <row r="190" spans="1:6" x14ac:dyDescent="0.2">
      <c r="B190" s="26" t="str">
        <f>INDEX($C190:$F190,1,MATCH(Sprachwahl,ListSprache,0))</f>
        <v>Lichtundurchlässiger Behang</v>
      </c>
      <c r="C190" s="19" t="s">
        <v>106</v>
      </c>
      <c r="D190" s="26" t="s">
        <v>336</v>
      </c>
      <c r="E190" s="26" t="s">
        <v>724</v>
      </c>
      <c r="F190" s="26" t="s">
        <v>541</v>
      </c>
    </row>
    <row r="192" spans="1:6" x14ac:dyDescent="0.2">
      <c r="A192" s="26" t="s">
        <v>107</v>
      </c>
      <c r="B192" s="26" t="str">
        <f>INDEX($C192:$F192,1,MATCH(Sprachwahl,ListSprache,0))</f>
        <v>Motorbetrieben, automatisch, Lamellennachführung</v>
      </c>
      <c r="C192" s="19" t="s">
        <v>108</v>
      </c>
      <c r="D192" s="26" t="s">
        <v>337</v>
      </c>
      <c r="E192" s="26" t="s">
        <v>725</v>
      </c>
      <c r="F192" s="26" t="s">
        <v>533</v>
      </c>
    </row>
    <row r="193" spans="1:6" x14ac:dyDescent="0.2">
      <c r="B193" s="26" t="str">
        <f>INDEX($C193:$F193,1,MATCH(Sprachwahl,ListSprache,0))</f>
        <v>Motorbetrieben, automatisch, Berücks. Verschattung</v>
      </c>
      <c r="C193" s="19" t="s">
        <v>111</v>
      </c>
      <c r="D193" s="26" t="s">
        <v>338</v>
      </c>
      <c r="E193" s="26" t="s">
        <v>726</v>
      </c>
      <c r="F193" s="26" t="s">
        <v>532</v>
      </c>
    </row>
    <row r="194" spans="1:6" x14ac:dyDescent="0.2">
      <c r="B194" s="26" t="str">
        <f>INDEX($C194:$F194,1,MATCH(Sprachwahl,ListSprache,0))</f>
        <v>Motorbetrieben, automatisch</v>
      </c>
      <c r="C194" s="19" t="s">
        <v>109</v>
      </c>
      <c r="D194" s="26" t="s">
        <v>339</v>
      </c>
      <c r="E194" s="26" t="s">
        <v>544</v>
      </c>
      <c r="F194" s="26" t="s">
        <v>531</v>
      </c>
    </row>
    <row r="195" spans="1:6" x14ac:dyDescent="0.2">
      <c r="B195" s="26" t="str">
        <f>INDEX($C195:$F195,1,MATCH(Sprachwahl,ListSprache,0))</f>
        <v>Motorbetrieben, manuell</v>
      </c>
      <c r="C195" s="19" t="s">
        <v>112</v>
      </c>
      <c r="D195" s="26" t="s">
        <v>340</v>
      </c>
      <c r="E195" s="26" t="s">
        <v>727</v>
      </c>
      <c r="F195" s="26" t="s">
        <v>530</v>
      </c>
    </row>
    <row r="196" spans="1:6" x14ac:dyDescent="0.2">
      <c r="B196" s="26" t="str">
        <f>INDEX($C196:$F196,1,MATCH(Sprachwahl,ListSprache,0))</f>
        <v>Manuell</v>
      </c>
      <c r="C196" s="19" t="s">
        <v>110</v>
      </c>
      <c r="D196" s="26" t="s">
        <v>341</v>
      </c>
      <c r="E196" s="26" t="s">
        <v>501</v>
      </c>
      <c r="F196" s="26" t="s">
        <v>523</v>
      </c>
    </row>
    <row r="198" spans="1:6" x14ac:dyDescent="0.2">
      <c r="A198" s="26" t="s">
        <v>83</v>
      </c>
      <c r="B198" s="26" t="str">
        <f>INDEX($C198:$F198,1,MATCH(Sprachwahl,ListSprache,0))</f>
        <v>Freie Sicht, keine oder geringe Verschattung durch Umgebung</v>
      </c>
      <c r="C198" s="19" t="s">
        <v>84</v>
      </c>
      <c r="D198" s="26" t="s">
        <v>342</v>
      </c>
      <c r="E198" s="26" t="s">
        <v>728</v>
      </c>
      <c r="F198" s="26" t="s">
        <v>536</v>
      </c>
    </row>
    <row r="199" spans="1:6" x14ac:dyDescent="0.2">
      <c r="B199" s="26" t="str">
        <f>INDEX($C199:$F199,1,MATCH(Sprachwahl,ListSprache,0))</f>
        <v>Mittlere Verschattung, Verbauungshöhenwinkel 15°-35°</v>
      </c>
      <c r="C199" s="19" t="s">
        <v>85</v>
      </c>
      <c r="D199" s="26" t="s">
        <v>343</v>
      </c>
      <c r="E199" s="26" t="s">
        <v>729</v>
      </c>
      <c r="F199" s="26" t="s">
        <v>535</v>
      </c>
    </row>
    <row r="200" spans="1:6" x14ac:dyDescent="0.2">
      <c r="B200" s="26" t="str">
        <f>INDEX($C200:$F200,1,MATCH(Sprachwahl,ListSprache,0))</f>
        <v>In der Stadt oder grosse Verschattung durch Umgebung</v>
      </c>
      <c r="C200" s="19" t="s">
        <v>86</v>
      </c>
      <c r="D200" s="26" t="s">
        <v>344</v>
      </c>
      <c r="E200" s="26" t="s">
        <v>545</v>
      </c>
      <c r="F200" s="26" t="s">
        <v>534</v>
      </c>
    </row>
    <row r="202" spans="1:6" x14ac:dyDescent="0.2">
      <c r="A202" s="26" t="s">
        <v>895</v>
      </c>
      <c r="B202" s="26" t="str">
        <f t="shared" ref="B202:B208" si="6">INDEX($C202:$F202,1,MATCH(Sprachwahl,ListSprache,0))</f>
        <v>Nur Landschaft</v>
      </c>
      <c r="C202" s="19" t="s">
        <v>899</v>
      </c>
      <c r="D202" s="26" t="s">
        <v>914</v>
      </c>
      <c r="E202" s="26" t="s">
        <v>915</v>
      </c>
      <c r="F202" s="26" t="s">
        <v>909</v>
      </c>
    </row>
    <row r="203" spans="1:6" x14ac:dyDescent="0.2">
      <c r="B203" s="26" t="str">
        <f t="shared" si="6"/>
        <v>Landschaft und Boden</v>
      </c>
      <c r="C203" s="19" t="s">
        <v>896</v>
      </c>
      <c r="D203" s="26" t="s">
        <v>922</v>
      </c>
      <c r="E203" s="26" t="s">
        <v>918</v>
      </c>
      <c r="F203" s="26" t="s">
        <v>926</v>
      </c>
    </row>
    <row r="204" spans="1:6" x14ac:dyDescent="0.2">
      <c r="B204" s="26" t="str">
        <f t="shared" si="6"/>
        <v>Landschaft und Himmel</v>
      </c>
      <c r="C204" s="19" t="s">
        <v>897</v>
      </c>
      <c r="D204" s="26" t="s">
        <v>912</v>
      </c>
      <c r="E204" s="26" t="s">
        <v>916</v>
      </c>
      <c r="F204" s="26" t="s">
        <v>910</v>
      </c>
    </row>
    <row r="205" spans="1:6" x14ac:dyDescent="0.2">
      <c r="B205" s="26" t="str">
        <f t="shared" si="6"/>
        <v>Landschaft, Boden und Himmel</v>
      </c>
      <c r="C205" s="19" t="s">
        <v>898</v>
      </c>
      <c r="D205" s="26" t="s">
        <v>923</v>
      </c>
      <c r="E205" s="26" t="s">
        <v>919</v>
      </c>
      <c r="F205" s="26" t="s">
        <v>927</v>
      </c>
    </row>
    <row r="206" spans="1:6" x14ac:dyDescent="0.2">
      <c r="B206" s="26" t="str">
        <f t="shared" si="6"/>
        <v>Nur Boden</v>
      </c>
      <c r="C206" s="19" t="s">
        <v>900</v>
      </c>
      <c r="D206" s="26" t="s">
        <v>924</v>
      </c>
      <c r="E206" s="26" t="s">
        <v>920</v>
      </c>
      <c r="F206" s="26" t="s">
        <v>928</v>
      </c>
    </row>
    <row r="207" spans="1:6" x14ac:dyDescent="0.2">
      <c r="B207" s="26" t="str">
        <f t="shared" si="6"/>
        <v>Nur Himmel</v>
      </c>
      <c r="C207" s="19" t="s">
        <v>901</v>
      </c>
      <c r="D207" s="26" t="s">
        <v>913</v>
      </c>
      <c r="E207" s="26" t="s">
        <v>917</v>
      </c>
      <c r="F207" s="26" t="s">
        <v>911</v>
      </c>
    </row>
    <row r="208" spans="1:6" x14ac:dyDescent="0.2">
      <c r="B208" s="26" t="str">
        <f t="shared" si="6"/>
        <v>Boden und Himmel</v>
      </c>
      <c r="C208" s="19" t="s">
        <v>902</v>
      </c>
      <c r="D208" s="26" t="s">
        <v>925</v>
      </c>
      <c r="E208" s="26" t="s">
        <v>921</v>
      </c>
      <c r="F208" s="26" t="s">
        <v>929</v>
      </c>
    </row>
    <row r="210" spans="1:6" x14ac:dyDescent="0.2">
      <c r="A210" s="26" t="s">
        <v>957</v>
      </c>
      <c r="B210" s="26" t="str">
        <f>INDEX($C210:$F210,1,MATCH(Sprachwahl,ListSprache,0))</f>
        <v>Hoch</v>
      </c>
      <c r="C210" s="26" t="s">
        <v>958</v>
      </c>
      <c r="D210" s="26" t="s">
        <v>965</v>
      </c>
      <c r="E210" s="26" t="s">
        <v>963</v>
      </c>
      <c r="F210" s="26" t="s">
        <v>961</v>
      </c>
    </row>
    <row r="211" spans="1:6" x14ac:dyDescent="0.2">
      <c r="B211" s="26" t="str">
        <f>INDEX($C211:$F211,1,MATCH(Sprachwahl,ListSprache,0))</f>
        <v>Mittel</v>
      </c>
      <c r="C211" s="26" t="s">
        <v>959</v>
      </c>
      <c r="D211" s="26" t="s">
        <v>966</v>
      </c>
      <c r="E211" s="26" t="s">
        <v>967</v>
      </c>
      <c r="F211" s="26" t="s">
        <v>962</v>
      </c>
    </row>
    <row r="212" spans="1:6" x14ac:dyDescent="0.2">
      <c r="B212" s="26" t="str">
        <f>INDEX($C212:$F212,1,MATCH(Sprachwahl,ListSprache,0))</f>
        <v>Minimum</v>
      </c>
      <c r="C212" s="26" t="s">
        <v>960</v>
      </c>
      <c r="D212" s="26" t="s">
        <v>960</v>
      </c>
      <c r="E212" s="26" t="s">
        <v>964</v>
      </c>
      <c r="F212" s="26" t="s">
        <v>960</v>
      </c>
    </row>
    <row r="213" spans="1:6" x14ac:dyDescent="0.2">
      <c r="B213" s="26" t="str">
        <f>INDEX($C213:$F213,1,MATCH(Sprachwahl,ListSprache,0))</f>
        <v>Ungenügend</v>
      </c>
      <c r="C213" s="26" t="s">
        <v>133</v>
      </c>
      <c r="D213" s="26" t="s">
        <v>970</v>
      </c>
      <c r="E213" s="26" t="s">
        <v>968</v>
      </c>
      <c r="F213" s="26" t="s">
        <v>969</v>
      </c>
    </row>
    <row r="215" spans="1:6" x14ac:dyDescent="0.2">
      <c r="A215" s="26" t="s">
        <v>219</v>
      </c>
      <c r="B215" s="26" t="str">
        <f>INDEX($C215:$F215,1,MATCH(Sprachwahl,ListSprache,0))</f>
        <v>gut erfüllt</v>
      </c>
      <c r="C215" s="19" t="s">
        <v>162</v>
      </c>
      <c r="D215" s="26" t="s">
        <v>254</v>
      </c>
      <c r="E215" s="26" t="s">
        <v>495</v>
      </c>
      <c r="F215" s="26" t="s">
        <v>883</v>
      </c>
    </row>
    <row r="216" spans="1:6" x14ac:dyDescent="0.2">
      <c r="B216" s="26" t="str">
        <f>INDEX($C216:$F216,1,MATCH(Sprachwahl,ListSprache,0))</f>
        <v>erfüllt</v>
      </c>
      <c r="C216" s="19" t="s">
        <v>163</v>
      </c>
      <c r="D216" s="26" t="s">
        <v>252</v>
      </c>
      <c r="E216" s="26" t="s">
        <v>496</v>
      </c>
      <c r="F216" s="26" t="s">
        <v>884</v>
      </c>
    </row>
    <row r="217" spans="1:6" x14ac:dyDescent="0.2">
      <c r="B217" s="26" t="str">
        <f>INDEX($C217:$F217,1,MATCH(Sprachwahl,ListSprache,0))</f>
        <v>nicht erfüllt</v>
      </c>
      <c r="C217" s="19" t="s">
        <v>164</v>
      </c>
      <c r="D217" s="26" t="s">
        <v>253</v>
      </c>
      <c r="E217" s="26" t="s">
        <v>494</v>
      </c>
      <c r="F217" s="26" t="s">
        <v>885</v>
      </c>
    </row>
    <row r="219" spans="1:6" x14ac:dyDescent="0.2">
      <c r="A219" s="26" t="s">
        <v>231</v>
      </c>
      <c r="B219" s="26" t="str">
        <f>INDEX($C219:$F219,1,MATCH(Sprachwahl,ListSprache,0))</f>
        <v>Neubau</v>
      </c>
      <c r="C219" s="26" t="s">
        <v>22</v>
      </c>
      <c r="D219" s="26" t="s">
        <v>330</v>
      </c>
      <c r="E219" s="26" t="s">
        <v>497</v>
      </c>
      <c r="F219" s="26" t="s">
        <v>43</v>
      </c>
    </row>
    <row r="220" spans="1:6" x14ac:dyDescent="0.2">
      <c r="B220" s="26" t="str">
        <f>INDEX($C220:$F220,1,MATCH(Sprachwahl,ListSprache,0))</f>
        <v>Modernisierung</v>
      </c>
      <c r="C220" s="26" t="s">
        <v>39</v>
      </c>
      <c r="D220" s="26" t="s">
        <v>331</v>
      </c>
      <c r="E220" s="26" t="s">
        <v>498</v>
      </c>
      <c r="F220" s="26" t="s">
        <v>44</v>
      </c>
    </row>
    <row r="222" spans="1:6" x14ac:dyDescent="0.2">
      <c r="A222" s="26" t="s">
        <v>232</v>
      </c>
      <c r="B222" s="26" t="str">
        <f>INDEX($C222:$F222,1,MATCH(Sprachwahl,ListSprache,0))</f>
        <v>Bitte zuerst Tabelle 'Fragenkatalog_Modernisierung' ausfüllen.</v>
      </c>
      <c r="C222" s="26" t="str">
        <f>"Bitte zuerst Tabelle '"&amp;SheetQuestionaire&amp;"' ausfüllen."</f>
        <v>Bitte zuerst Tabelle 'Fragenkatalog_Modernisierung' ausfüllen.</v>
      </c>
      <c r="D222" s="26" t="str">
        <f>"Veuillez remplir en premier la feuille '"&amp;SheetQuestionaire&amp;"'"</f>
        <v>Veuillez remplir en premier la feuille 'Fragenkatalog_Modernisierung'</v>
      </c>
      <c r="E222" s="26" t="str">
        <f>"Riempire il foglio '"&amp;SheetQuestionaire&amp;"'"</f>
        <v>Riempire il foglio 'Fragenkatalog_Modernisierung'</v>
      </c>
      <c r="F222" s="26" t="str">
        <f>"Please fill out the sheet '"&amp;SheetQuestionaire&amp;"' first"</f>
        <v>Please fill out the sheet 'Fragenkatalog_Modernisierung' first</v>
      </c>
    </row>
    <row r="223" spans="1:6" x14ac:dyDescent="0.2">
      <c r="B223" s="26" t="str">
        <f>INDEX($C223:$F223,1,MATCH(Sprachwahl,ListSprache,0))</f>
        <v>Bitte direkt Tabellenblätter 'Fenster', 'Tageslicht' und 'Ausblick' ausfüllen</v>
      </c>
      <c r="C223" s="26" t="str">
        <f>"Bitte direkt Tabellenblätter '"&amp;SheetWindow&amp;"', '"&amp;SheetDaylight&amp;"' und '"&amp;SheetViews&amp;"' ausfüllen"</f>
        <v>Bitte direkt Tabellenblätter 'Fenster', 'Tageslicht' und 'Ausblick' ausfüllen</v>
      </c>
      <c r="D223" s="26" t="str">
        <f>"Veuillez remplir directement les feuilles '"&amp;SheetWindow&amp;"', '"&amp;SheetDaylight&amp;"' et '"&amp;SheetViews&amp;"'"</f>
        <v>Veuillez remplir directement les feuilles 'Fenster', 'Tageslicht' et 'Ausblick'</v>
      </c>
      <c r="E223" s="26" t="str">
        <f>"Riempire le foglie '"&amp;SheetWindow&amp;"', '"&amp;SheetDaylight&amp;"' e '"&amp;SheetViews&amp;"'"</f>
        <v>Riempire le foglie 'Fenster', 'Tageslicht' e 'Ausblick'</v>
      </c>
      <c r="F223" s="26" t="str">
        <f>"Please fill out the sheets '"&amp;SheetWindow&amp;"', '"&amp;SheetDaylight&amp;"' and '"&amp;SheetViews&amp;"'"</f>
        <v>Please fill out the sheets 'Fenster', 'Tageslicht' and 'Ausblick'</v>
      </c>
    </row>
    <row r="225" spans="1:7" x14ac:dyDescent="0.2">
      <c r="A225" s="26" t="s">
        <v>234</v>
      </c>
      <c r="B225" s="26" t="str">
        <f>INDEX($C225:$F225,1,MATCH(Sprachwahl,ListSprache,0))</f>
        <v>Ja</v>
      </c>
      <c r="C225" s="26" t="s">
        <v>54</v>
      </c>
      <c r="D225" s="26" t="s">
        <v>354</v>
      </c>
      <c r="E225" s="26" t="s">
        <v>499</v>
      </c>
      <c r="F225" s="26" t="s">
        <v>529</v>
      </c>
    </row>
    <row r="226" spans="1:7" x14ac:dyDescent="0.2">
      <c r="B226" s="26" t="str">
        <f>INDEX($C226:$F226,1,MATCH(Sprachwahl,ListSprache,0))</f>
        <v>Nein</v>
      </c>
      <c r="C226" s="26" t="s">
        <v>53</v>
      </c>
      <c r="D226" s="26" t="s">
        <v>353</v>
      </c>
      <c r="E226" s="26" t="s">
        <v>500</v>
      </c>
      <c r="F226" s="26" t="s">
        <v>500</v>
      </c>
    </row>
    <row r="228" spans="1:7" x14ac:dyDescent="0.2">
      <c r="A228" s="26" t="s">
        <v>524</v>
      </c>
      <c r="B228" s="26" t="str">
        <f>INDEX($C228:$F228,1,MATCH(Sprachwahl,ListSprache,0))</f>
        <v>Überblick</v>
      </c>
      <c r="C228" s="26" t="s">
        <v>525</v>
      </c>
      <c r="D228" s="26" t="s">
        <v>527</v>
      </c>
      <c r="E228" s="26" t="s">
        <v>365</v>
      </c>
      <c r="F228" s="26" t="s">
        <v>390</v>
      </c>
    </row>
    <row r="229" spans="1:7" x14ac:dyDescent="0.2">
      <c r="B229" s="26" t="str">
        <f>INDEX($C229:$F229,1,MATCH(Sprachwahl,ListSprache,0))</f>
        <v>Fenster</v>
      </c>
      <c r="C229" s="26" t="s">
        <v>65</v>
      </c>
      <c r="D229" s="26" t="s">
        <v>265</v>
      </c>
      <c r="E229" s="26" t="s">
        <v>374</v>
      </c>
      <c r="F229" s="26" t="s">
        <v>422</v>
      </c>
    </row>
    <row r="230" spans="1:7" x14ac:dyDescent="0.2">
      <c r="B230" s="26" t="str">
        <f>INDEX($C230:$F230,1,MATCH(Sprachwahl,ListSprache,0))</f>
        <v>Tageslicht</v>
      </c>
      <c r="C230" s="26" t="s">
        <v>526</v>
      </c>
      <c r="D230" s="26" t="s">
        <v>785</v>
      </c>
      <c r="E230" s="26" t="s">
        <v>784</v>
      </c>
      <c r="F230" s="26" t="s">
        <v>528</v>
      </c>
    </row>
    <row r="231" spans="1:7" x14ac:dyDescent="0.2">
      <c r="B231" s="26" t="str">
        <f>INDEX($C231:$F231,1,MATCH(Sprachwahl,ListSprache,0))</f>
        <v>Ausblick</v>
      </c>
      <c r="C231" s="26" t="s">
        <v>1007</v>
      </c>
      <c r="D231" s="26" t="s">
        <v>1009</v>
      </c>
      <c r="E231" s="26" t="s">
        <v>1010</v>
      </c>
      <c r="F231" s="26" t="s">
        <v>1008</v>
      </c>
    </row>
    <row r="232" spans="1:7" x14ac:dyDescent="0.2">
      <c r="B232" s="26" t="str">
        <f>INDEX($C232:$F232,1,MATCH(Sprachwahl,ListSprache,0))</f>
        <v>Fragenkatalog_Modernisierung</v>
      </c>
      <c r="C232" s="26" t="s">
        <v>886</v>
      </c>
      <c r="D232" s="26" t="s">
        <v>887</v>
      </c>
      <c r="E232" s="26" t="s">
        <v>888</v>
      </c>
      <c r="F232" s="26" t="s">
        <v>889</v>
      </c>
    </row>
    <row r="235" spans="1:7" x14ac:dyDescent="0.2">
      <c r="A235" s="39" t="s">
        <v>547</v>
      </c>
      <c r="B235" s="39"/>
      <c r="C235" s="39"/>
      <c r="D235" s="39"/>
      <c r="E235" s="39"/>
      <c r="F235" s="39"/>
      <c r="G235" s="39"/>
    </row>
    <row r="236" spans="1:7" x14ac:dyDescent="0.2">
      <c r="A236" s="39" t="s">
        <v>594</v>
      </c>
      <c r="B236" s="39" t="s">
        <v>595</v>
      </c>
      <c r="C236" s="39" t="s">
        <v>168</v>
      </c>
      <c r="D236" s="39" t="str">
        <f>C$4</f>
        <v>Deutsch</v>
      </c>
      <c r="E236" s="39" t="str">
        <f>D$4</f>
        <v>Francais</v>
      </c>
      <c r="F236" s="39" t="str">
        <f>E$4</f>
        <v>Italiano</v>
      </c>
      <c r="G236" s="39" t="str">
        <f>F$4</f>
        <v>English</v>
      </c>
    </row>
    <row r="237" spans="1:7" x14ac:dyDescent="0.2">
      <c r="A237" s="185">
        <v>2</v>
      </c>
      <c r="B237" s="26" t="s">
        <v>620</v>
      </c>
      <c r="C237" s="26" t="str">
        <f t="shared" ref="C237:C268" si="7">INDEX($D237:$G237,1,MATCH(Sprachwahl,ListSprache,0))</f>
        <v>Kürzel</v>
      </c>
      <c r="D237" s="26" t="s">
        <v>74</v>
      </c>
      <c r="E237" s="26" t="s">
        <v>663</v>
      </c>
      <c r="F237" s="26" t="s">
        <v>667</v>
      </c>
      <c r="G237" s="26" t="s">
        <v>397</v>
      </c>
    </row>
    <row r="238" spans="1:7" x14ac:dyDescent="0.2">
      <c r="A238" s="185"/>
      <c r="C238" s="26" t="str">
        <f t="shared" si="7"/>
        <v>Bitte geben Sie eine Kurzbezeichnung ein (max. 4 Zeichen)</v>
      </c>
      <c r="D238" s="26" t="s">
        <v>626</v>
      </c>
      <c r="E238" s="26" t="s">
        <v>789</v>
      </c>
      <c r="F238" s="26" t="s">
        <v>668</v>
      </c>
      <c r="G238" s="26" t="s">
        <v>881</v>
      </c>
    </row>
    <row r="239" spans="1:7" x14ac:dyDescent="0.2">
      <c r="A239" s="185"/>
      <c r="C239" s="26" t="str">
        <f t="shared" si="7"/>
        <v>Fehler</v>
      </c>
      <c r="D239" s="26" t="s">
        <v>610</v>
      </c>
      <c r="E239" s="26" t="s">
        <v>790</v>
      </c>
      <c r="F239" s="26" t="s">
        <v>669</v>
      </c>
      <c r="G239" s="26" t="s">
        <v>759</v>
      </c>
    </row>
    <row r="240" spans="1:7" x14ac:dyDescent="0.2">
      <c r="A240" s="185"/>
      <c r="C240" s="26" t="str">
        <f t="shared" si="7"/>
        <v>Sie dürfen nur maximal 4 Zeichen eingeben.</v>
      </c>
      <c r="D240" s="26" t="s">
        <v>639</v>
      </c>
      <c r="E240" s="26" t="s">
        <v>791</v>
      </c>
      <c r="F240" s="26" t="s">
        <v>670</v>
      </c>
      <c r="G240" s="26" t="s">
        <v>760</v>
      </c>
    </row>
    <row r="241" spans="1:7" x14ac:dyDescent="0.2">
      <c r="A241" s="185">
        <v>2</v>
      </c>
      <c r="B241" s="26" t="s">
        <v>621</v>
      </c>
      <c r="C241" s="26" t="str">
        <f t="shared" si="7"/>
        <v>Bezeichnung</v>
      </c>
      <c r="D241" s="26" t="s">
        <v>75</v>
      </c>
      <c r="E241" s="26" t="s">
        <v>792</v>
      </c>
      <c r="F241" s="26" t="s">
        <v>671</v>
      </c>
      <c r="G241" s="26" t="s">
        <v>565</v>
      </c>
    </row>
    <row r="242" spans="1:7" x14ac:dyDescent="0.2">
      <c r="A242" s="185"/>
      <c r="C242" s="26" t="str">
        <f t="shared" si="7"/>
        <v>Bitte geben Sie eine Bezeichnung für das Fenster ein</v>
      </c>
      <c r="D242" s="26" t="s">
        <v>638</v>
      </c>
      <c r="E242" s="26" t="s">
        <v>793</v>
      </c>
      <c r="F242" s="26" t="s">
        <v>672</v>
      </c>
      <c r="G242" s="26" t="s">
        <v>761</v>
      </c>
    </row>
    <row r="243" spans="1:7" x14ac:dyDescent="0.2">
      <c r="A243" s="185"/>
      <c r="C243" s="26" t="str">
        <f t="shared" si="7"/>
        <v>Fehler</v>
      </c>
      <c r="D243" s="26" t="s">
        <v>610</v>
      </c>
      <c r="E243" s="26" t="s">
        <v>790</v>
      </c>
      <c r="F243" s="26" t="s">
        <v>669</v>
      </c>
      <c r="G243" s="26" t="s">
        <v>759</v>
      </c>
    </row>
    <row r="244" spans="1:7" x14ac:dyDescent="0.2">
      <c r="A244" s="185"/>
      <c r="C244" s="26" t="str">
        <f t="shared" si="7"/>
        <v>Sie dürfen nur maximal 25 Zeichen eingeben.</v>
      </c>
      <c r="D244" s="26" t="s">
        <v>640</v>
      </c>
      <c r="E244" s="26" t="s">
        <v>794</v>
      </c>
      <c r="F244" s="26" t="s">
        <v>673</v>
      </c>
      <c r="G244" s="26" t="s">
        <v>762</v>
      </c>
    </row>
    <row r="245" spans="1:7" x14ac:dyDescent="0.2">
      <c r="A245" s="185">
        <v>2</v>
      </c>
      <c r="B245" s="26" t="s">
        <v>622</v>
      </c>
      <c r="C245" s="26" t="str">
        <f t="shared" si="7"/>
        <v>Breite</v>
      </c>
      <c r="D245" s="26" t="s">
        <v>70</v>
      </c>
      <c r="E245" s="26" t="s">
        <v>795</v>
      </c>
      <c r="F245" s="26" t="s">
        <v>674</v>
      </c>
      <c r="G245" s="26" t="s">
        <v>763</v>
      </c>
    </row>
    <row r="246" spans="1:7" x14ac:dyDescent="0.2">
      <c r="A246" s="185"/>
      <c r="C246" s="26" t="str">
        <f t="shared" si="7"/>
        <v>Geben Sie die Breite des Fensters (Öffnungslichtmass) ein.</v>
      </c>
      <c r="D246" s="26" t="s">
        <v>644</v>
      </c>
      <c r="E246" s="26" t="s">
        <v>796</v>
      </c>
      <c r="F246" s="26" t="s">
        <v>675</v>
      </c>
      <c r="G246" s="26" t="s">
        <v>764</v>
      </c>
    </row>
    <row r="247" spans="1:7" x14ac:dyDescent="0.2">
      <c r="A247" s="185"/>
      <c r="C247" s="26" t="str">
        <f t="shared" si="7"/>
        <v>Fehler</v>
      </c>
      <c r="D247" s="26" t="s">
        <v>610</v>
      </c>
      <c r="E247" s="26" t="s">
        <v>790</v>
      </c>
      <c r="F247" s="26" t="s">
        <v>669</v>
      </c>
      <c r="G247" s="26" t="s">
        <v>759</v>
      </c>
    </row>
    <row r="248" spans="1:7" x14ac:dyDescent="0.2">
      <c r="A248" s="185"/>
      <c r="C248" s="26" t="str">
        <f t="shared" si="7"/>
        <v>Sie müssen Werte zwischen 0 und 999 eingeben.</v>
      </c>
      <c r="D248" s="26" t="s">
        <v>641</v>
      </c>
      <c r="E248" s="26" t="s">
        <v>797</v>
      </c>
      <c r="F248" s="26" t="s">
        <v>676</v>
      </c>
      <c r="G248" s="26" t="s">
        <v>765</v>
      </c>
    </row>
    <row r="249" spans="1:7" x14ac:dyDescent="0.2">
      <c r="A249" s="185">
        <v>2</v>
      </c>
      <c r="B249" s="26" t="s">
        <v>623</v>
      </c>
      <c r="C249" s="26" t="str">
        <f t="shared" si="7"/>
        <v>Höhe</v>
      </c>
      <c r="D249" s="26" t="s">
        <v>71</v>
      </c>
      <c r="E249" s="26" t="s">
        <v>798</v>
      </c>
      <c r="F249" s="26" t="s">
        <v>677</v>
      </c>
      <c r="G249" s="26" t="s">
        <v>770</v>
      </c>
    </row>
    <row r="250" spans="1:7" x14ac:dyDescent="0.2">
      <c r="A250" s="185"/>
      <c r="C250" s="26" t="str">
        <f t="shared" si="7"/>
        <v>Geben Sie die Höhe des Fensters (Öffnungslichtmass) ein.</v>
      </c>
      <c r="D250" s="26" t="s">
        <v>645</v>
      </c>
      <c r="E250" s="26" t="s">
        <v>799</v>
      </c>
      <c r="F250" s="26" t="s">
        <v>678</v>
      </c>
      <c r="G250" s="26" t="s">
        <v>771</v>
      </c>
    </row>
    <row r="251" spans="1:7" x14ac:dyDescent="0.2">
      <c r="A251" s="185"/>
      <c r="C251" s="26" t="str">
        <f t="shared" si="7"/>
        <v>Fehler</v>
      </c>
      <c r="D251" s="26" t="s">
        <v>610</v>
      </c>
      <c r="E251" s="26" t="s">
        <v>790</v>
      </c>
      <c r="F251" s="26" t="s">
        <v>669</v>
      </c>
      <c r="G251" s="26" t="s">
        <v>759</v>
      </c>
    </row>
    <row r="252" spans="1:7" x14ac:dyDescent="0.2">
      <c r="A252" s="185"/>
      <c r="C252" s="26" t="str">
        <f t="shared" si="7"/>
        <v>Sie müssen Werte zwischen 0 und 999 eingeben.</v>
      </c>
      <c r="D252" s="26" t="s">
        <v>641</v>
      </c>
      <c r="E252" s="26" t="s">
        <v>797</v>
      </c>
      <c r="F252" s="26" t="s">
        <v>676</v>
      </c>
      <c r="G252" s="26" t="s">
        <v>765</v>
      </c>
    </row>
    <row r="253" spans="1:7" x14ac:dyDescent="0.2">
      <c r="A253" s="185">
        <v>2</v>
      </c>
      <c r="B253" s="26" t="s">
        <v>624</v>
      </c>
      <c r="C253" s="26" t="str">
        <f t="shared" si="7"/>
        <v>Glasanteil</v>
      </c>
      <c r="D253" s="26" t="s">
        <v>627</v>
      </c>
      <c r="E253" s="26" t="s">
        <v>800</v>
      </c>
      <c r="F253" s="26" t="s">
        <v>679</v>
      </c>
      <c r="G253" s="26" t="s">
        <v>772</v>
      </c>
    </row>
    <row r="254" spans="1:7" x14ac:dyDescent="0.2">
      <c r="A254" s="185"/>
      <c r="C254" s="26" t="str">
        <f t="shared" si="7"/>
        <v>Geben Sie den Flächenanteil des Glases am Öffnungslichtmass ein.</v>
      </c>
      <c r="D254" s="26" t="s">
        <v>646</v>
      </c>
      <c r="E254" s="26" t="s">
        <v>801</v>
      </c>
      <c r="F254" s="26" t="s">
        <v>680</v>
      </c>
      <c r="G254" s="26" t="s">
        <v>773</v>
      </c>
    </row>
    <row r="255" spans="1:7" x14ac:dyDescent="0.2">
      <c r="A255" s="185"/>
      <c r="C255" s="26" t="str">
        <f t="shared" si="7"/>
        <v>Fehler</v>
      </c>
      <c r="D255" s="26" t="s">
        <v>610</v>
      </c>
      <c r="E255" s="26" t="s">
        <v>790</v>
      </c>
      <c r="F255" s="26" t="s">
        <v>669</v>
      </c>
      <c r="G255" s="26" t="s">
        <v>759</v>
      </c>
    </row>
    <row r="256" spans="1:7" x14ac:dyDescent="0.2">
      <c r="A256" s="185"/>
      <c r="C256" s="26" t="str">
        <f t="shared" si="7"/>
        <v>Sie müssen Werte zwischen 0% und 100% eingeben.</v>
      </c>
      <c r="D256" s="26" t="s">
        <v>642</v>
      </c>
      <c r="E256" s="26" t="s">
        <v>802</v>
      </c>
      <c r="F256" s="26" t="s">
        <v>681</v>
      </c>
      <c r="G256" s="26" t="s">
        <v>767</v>
      </c>
    </row>
    <row r="257" spans="1:7" x14ac:dyDescent="0.2">
      <c r="A257" s="185">
        <v>2</v>
      </c>
      <c r="B257" s="26" t="s">
        <v>625</v>
      </c>
      <c r="C257" s="26" t="str">
        <f t="shared" si="7"/>
        <v>Tau</v>
      </c>
      <c r="D257" s="26" t="s">
        <v>72</v>
      </c>
      <c r="E257" s="26" t="s">
        <v>72</v>
      </c>
      <c r="F257" s="26" t="s">
        <v>682</v>
      </c>
      <c r="G257" s="26" t="s">
        <v>774</v>
      </c>
    </row>
    <row r="258" spans="1:7" x14ac:dyDescent="0.2">
      <c r="A258" s="185"/>
      <c r="C258" s="26" t="str">
        <f t="shared" si="7"/>
        <v>Geben Sie den Wert für die Tageslicht-Transmission des Glases ein. 
Achtung: bei vor dem Fenster angeordneten Gläsern (Kastenfenster, Doppelfassaden etc.) ist der Tau-Wert der Verglasungen zu multiplizieren.</v>
      </c>
      <c r="D258" s="26" t="s">
        <v>647</v>
      </c>
      <c r="E258" s="26" t="s">
        <v>803</v>
      </c>
      <c r="F258" s="26" t="s">
        <v>683</v>
      </c>
      <c r="G258" s="26" t="s">
        <v>775</v>
      </c>
    </row>
    <row r="259" spans="1:7" x14ac:dyDescent="0.2">
      <c r="A259" s="185"/>
      <c r="C259" s="26" t="str">
        <f t="shared" si="7"/>
        <v>Fehler</v>
      </c>
      <c r="D259" s="26" t="s">
        <v>610</v>
      </c>
      <c r="E259" s="26" t="s">
        <v>790</v>
      </c>
      <c r="F259" s="26" t="s">
        <v>669</v>
      </c>
      <c r="G259" s="26" t="s">
        <v>759</v>
      </c>
    </row>
    <row r="260" spans="1:7" x14ac:dyDescent="0.2">
      <c r="A260" s="185"/>
      <c r="C260" s="26" t="str">
        <f t="shared" si="7"/>
        <v>Sie müssen Werte zwischen 0% und 100% eingeben.</v>
      </c>
      <c r="D260" s="26" t="s">
        <v>642</v>
      </c>
      <c r="E260" s="26" t="s">
        <v>802</v>
      </c>
      <c r="F260" s="26" t="s">
        <v>681</v>
      </c>
      <c r="G260" s="26" t="s">
        <v>767</v>
      </c>
    </row>
    <row r="261" spans="1:7" x14ac:dyDescent="0.2">
      <c r="A261" s="185">
        <v>2</v>
      </c>
      <c r="B261" s="26" t="s">
        <v>630</v>
      </c>
      <c r="C261" s="26" t="str">
        <f t="shared" si="7"/>
        <v>Sturzhöhe</v>
      </c>
      <c r="D261" s="26" t="s">
        <v>628</v>
      </c>
      <c r="E261" s="26" t="s">
        <v>804</v>
      </c>
      <c r="F261" s="26" t="s">
        <v>684</v>
      </c>
      <c r="G261" s="26" t="s">
        <v>769</v>
      </c>
    </row>
    <row r="262" spans="1:7" x14ac:dyDescent="0.2">
      <c r="A262" s="185"/>
      <c r="C262" s="26" t="str">
        <f t="shared" si="7"/>
        <v>Geben Sie den Abstand zwischen Decke und Verglasung ein.</v>
      </c>
      <c r="D262" s="26" t="s">
        <v>648</v>
      </c>
      <c r="E262" s="26" t="s">
        <v>805</v>
      </c>
      <c r="F262" s="26" t="s">
        <v>685</v>
      </c>
      <c r="G262" s="26" t="s">
        <v>768</v>
      </c>
    </row>
    <row r="263" spans="1:7" x14ac:dyDescent="0.2">
      <c r="A263" s="185"/>
      <c r="C263" s="26" t="str">
        <f t="shared" si="7"/>
        <v>Fehler</v>
      </c>
      <c r="D263" s="26" t="s">
        <v>610</v>
      </c>
      <c r="E263" s="26" t="s">
        <v>790</v>
      </c>
      <c r="F263" s="26" t="s">
        <v>669</v>
      </c>
      <c r="G263" s="26" t="s">
        <v>759</v>
      </c>
    </row>
    <row r="264" spans="1:7" x14ac:dyDescent="0.2">
      <c r="A264" s="185"/>
      <c r="C264" s="26" t="str">
        <f t="shared" si="7"/>
        <v>Sie müssen Werte zwischen 0 und 99 eingeben.</v>
      </c>
      <c r="D264" s="26" t="s">
        <v>643</v>
      </c>
      <c r="E264" s="26" t="s">
        <v>806</v>
      </c>
      <c r="F264" s="26" t="s">
        <v>676</v>
      </c>
      <c r="G264" s="26" t="s">
        <v>766</v>
      </c>
    </row>
    <row r="265" spans="1:7" x14ac:dyDescent="0.2">
      <c r="A265" s="185">
        <v>2</v>
      </c>
      <c r="B265" s="26" t="s">
        <v>631</v>
      </c>
      <c r="C265" s="26" t="str">
        <f t="shared" si="7"/>
        <v>Auskragung</v>
      </c>
      <c r="D265" s="26" t="s">
        <v>629</v>
      </c>
      <c r="E265" s="26" t="s">
        <v>807</v>
      </c>
      <c r="F265" s="26" t="s">
        <v>686</v>
      </c>
      <c r="G265" s="26" t="s">
        <v>779</v>
      </c>
    </row>
    <row r="266" spans="1:7" x14ac:dyDescent="0.2">
      <c r="A266" s="185"/>
      <c r="C266" s="26" t="str">
        <f t="shared" si="7"/>
        <v>Geben Sie den horizontalen Abstand zwischen Fenster und Vorderkante der Auskragung ein.</v>
      </c>
      <c r="D266" s="26" t="s">
        <v>649</v>
      </c>
      <c r="E266" s="26" t="s">
        <v>808</v>
      </c>
      <c r="F266" s="26" t="s">
        <v>687</v>
      </c>
      <c r="G266" s="26" t="s">
        <v>780</v>
      </c>
    </row>
    <row r="267" spans="1:7" x14ac:dyDescent="0.2">
      <c r="A267" s="185"/>
      <c r="C267" s="26" t="str">
        <f t="shared" si="7"/>
        <v>Fehler</v>
      </c>
      <c r="D267" s="26" t="s">
        <v>610</v>
      </c>
      <c r="E267" s="26" t="s">
        <v>790</v>
      </c>
      <c r="F267" s="26" t="s">
        <v>669</v>
      </c>
      <c r="G267" s="26" t="s">
        <v>759</v>
      </c>
    </row>
    <row r="268" spans="1:7" x14ac:dyDescent="0.2">
      <c r="A268" s="185"/>
      <c r="C268" s="26" t="str">
        <f t="shared" si="7"/>
        <v>Sie müssen Werte zwischen 0 und 99 eingeben.</v>
      </c>
      <c r="D268" s="26" t="s">
        <v>643</v>
      </c>
      <c r="E268" s="26" t="s">
        <v>806</v>
      </c>
      <c r="F268" s="26" t="s">
        <v>676</v>
      </c>
      <c r="G268" s="26" t="s">
        <v>766</v>
      </c>
    </row>
    <row r="269" spans="1:7" x14ac:dyDescent="0.2">
      <c r="A269" s="185">
        <v>2</v>
      </c>
      <c r="B269" s="26" t="s">
        <v>632</v>
      </c>
      <c r="C269" s="26" t="str">
        <f t="shared" ref="C269:C300" si="8">INDEX($D269:$G269,1,MATCH(Sprachwahl,ListSprache,0))</f>
        <v>Oberlicht</v>
      </c>
      <c r="D269" s="26" t="s">
        <v>636</v>
      </c>
      <c r="E269" s="26" t="s">
        <v>809</v>
      </c>
      <c r="F269" s="26" t="s">
        <v>688</v>
      </c>
      <c r="G269" s="26" t="s">
        <v>776</v>
      </c>
    </row>
    <row r="270" spans="1:7" x14ac:dyDescent="0.2">
      <c r="A270" s="185"/>
      <c r="C270" s="26" t="str">
        <f t="shared" si="8"/>
        <v>Wählen Sie Ja, wenn das Fenster im Dach angeordnet ist (Neigung 0° bis 45° aus der Horizontalen)</v>
      </c>
      <c r="D270" s="26" t="s">
        <v>650</v>
      </c>
      <c r="E270" s="26" t="s">
        <v>810</v>
      </c>
      <c r="F270" s="26" t="s">
        <v>689</v>
      </c>
      <c r="G270" s="26" t="s">
        <v>777</v>
      </c>
    </row>
    <row r="271" spans="1:7" x14ac:dyDescent="0.2">
      <c r="A271" s="185"/>
      <c r="C271" s="26" t="str">
        <f t="shared" si="8"/>
        <v>Fehler</v>
      </c>
      <c r="D271" s="26" t="s">
        <v>610</v>
      </c>
      <c r="E271" s="26" t="s">
        <v>790</v>
      </c>
      <c r="F271" s="26" t="s">
        <v>669</v>
      </c>
      <c r="G271" s="26" t="s">
        <v>759</v>
      </c>
    </row>
    <row r="272" spans="1:7" x14ac:dyDescent="0.2">
      <c r="A272" s="185"/>
      <c r="C272" s="26" t="str">
        <f t="shared" si="8"/>
        <v>Sie müssen einen Eintrag aus der Liste wählen.</v>
      </c>
      <c r="D272" s="26" t="s">
        <v>45</v>
      </c>
      <c r="E272" s="26" t="s">
        <v>811</v>
      </c>
      <c r="F272" s="26" t="s">
        <v>690</v>
      </c>
      <c r="G272" s="26" t="s">
        <v>778</v>
      </c>
    </row>
    <row r="273" spans="1:7" x14ac:dyDescent="0.2">
      <c r="A273" s="185">
        <v>2</v>
      </c>
      <c r="B273" s="26" t="s">
        <v>633</v>
      </c>
      <c r="C273" s="26" t="str">
        <f t="shared" si="8"/>
        <v>Sonnenschutz-Typ</v>
      </c>
      <c r="D273" s="26" t="s">
        <v>637</v>
      </c>
      <c r="E273" s="26" t="s">
        <v>812</v>
      </c>
      <c r="F273" s="26" t="s">
        <v>691</v>
      </c>
      <c r="G273" s="26" t="s">
        <v>876</v>
      </c>
    </row>
    <row r="274" spans="1:7" x14ac:dyDescent="0.2">
      <c r="A274" s="185"/>
      <c r="C274" s="26" t="str">
        <f t="shared" si="8"/>
        <v>Wählen Sie den am besten zutreffenden Sonnenschutz-Typ aus der Liste.</v>
      </c>
      <c r="D274" s="26" t="s">
        <v>651</v>
      </c>
      <c r="E274" s="26" t="s">
        <v>813</v>
      </c>
      <c r="F274" s="26" t="s">
        <v>692</v>
      </c>
      <c r="G274" s="26" t="s">
        <v>877</v>
      </c>
    </row>
    <row r="275" spans="1:7" x14ac:dyDescent="0.2">
      <c r="A275" s="185"/>
      <c r="C275" s="26" t="str">
        <f t="shared" si="8"/>
        <v>Fehler</v>
      </c>
      <c r="D275" s="26" t="s">
        <v>610</v>
      </c>
      <c r="E275" s="26" t="s">
        <v>790</v>
      </c>
      <c r="F275" s="26" t="s">
        <v>669</v>
      </c>
      <c r="G275" s="26" t="s">
        <v>759</v>
      </c>
    </row>
    <row r="276" spans="1:7" x14ac:dyDescent="0.2">
      <c r="A276" s="185"/>
      <c r="C276" s="26" t="str">
        <f t="shared" si="8"/>
        <v>Sie müssen einen Eintrag aus der Liste wählen.</v>
      </c>
      <c r="D276" s="26" t="s">
        <v>45</v>
      </c>
      <c r="E276" s="26" t="s">
        <v>811</v>
      </c>
      <c r="F276" s="26" t="s">
        <v>690</v>
      </c>
      <c r="G276" s="26" t="s">
        <v>778</v>
      </c>
    </row>
    <row r="277" spans="1:7" x14ac:dyDescent="0.2">
      <c r="A277" s="185">
        <v>2</v>
      </c>
      <c r="B277" s="26" t="s">
        <v>634</v>
      </c>
      <c r="C277" s="26" t="str">
        <f t="shared" si="8"/>
        <v>Steuerung</v>
      </c>
      <c r="D277" s="26" t="s">
        <v>113</v>
      </c>
      <c r="E277" s="26" t="s">
        <v>814</v>
      </c>
      <c r="F277" s="26" t="s">
        <v>693</v>
      </c>
      <c r="G277" s="26" t="s">
        <v>878</v>
      </c>
    </row>
    <row r="278" spans="1:7" x14ac:dyDescent="0.2">
      <c r="A278" s="185"/>
      <c r="C278" s="26" t="str">
        <f t="shared" si="8"/>
        <v>Wählen Sie den am besten zutreffenden Steuerungs-Typ aus der Liste.</v>
      </c>
      <c r="D278" s="26" t="s">
        <v>652</v>
      </c>
      <c r="E278" s="26" t="s">
        <v>815</v>
      </c>
      <c r="F278" s="26" t="s">
        <v>694</v>
      </c>
      <c r="G278" s="26" t="s">
        <v>879</v>
      </c>
    </row>
    <row r="279" spans="1:7" x14ac:dyDescent="0.2">
      <c r="A279" s="185"/>
      <c r="C279" s="26" t="str">
        <f t="shared" si="8"/>
        <v>Fehler</v>
      </c>
      <c r="D279" s="26" t="s">
        <v>610</v>
      </c>
      <c r="E279" s="26" t="s">
        <v>790</v>
      </c>
      <c r="F279" s="26" t="s">
        <v>669</v>
      </c>
      <c r="G279" s="26" t="s">
        <v>759</v>
      </c>
    </row>
    <row r="280" spans="1:7" x14ac:dyDescent="0.2">
      <c r="A280" s="185"/>
      <c r="C280" s="26" t="str">
        <f t="shared" si="8"/>
        <v>Sie müssen einen Eintrag aus der Liste wählen.</v>
      </c>
      <c r="D280" s="26" t="s">
        <v>45</v>
      </c>
      <c r="E280" s="26" t="s">
        <v>811</v>
      </c>
      <c r="F280" s="26" t="s">
        <v>690</v>
      </c>
      <c r="G280" s="26" t="s">
        <v>859</v>
      </c>
    </row>
    <row r="281" spans="1:7" x14ac:dyDescent="0.2">
      <c r="A281" s="185">
        <v>2</v>
      </c>
      <c r="B281" s="26" t="s">
        <v>635</v>
      </c>
      <c r="C281" s="26" t="str">
        <f t="shared" si="8"/>
        <v>Verschattung</v>
      </c>
      <c r="D281" s="26" t="s">
        <v>128</v>
      </c>
      <c r="E281" s="26" t="s">
        <v>816</v>
      </c>
      <c r="F281" s="26" t="s">
        <v>695</v>
      </c>
      <c r="G281" s="26" t="s">
        <v>867</v>
      </c>
    </row>
    <row r="282" spans="1:7" x14ac:dyDescent="0.2">
      <c r="A282" s="185"/>
      <c r="C282" s="26" t="str">
        <f t="shared" si="8"/>
        <v>Wählen Sie die am besten zutreffende Situation der Fassade, in der das Fenster platziert ist.</v>
      </c>
      <c r="D282" s="26" t="s">
        <v>653</v>
      </c>
      <c r="E282" s="26" t="s">
        <v>817</v>
      </c>
      <c r="F282" s="26" t="s">
        <v>696</v>
      </c>
      <c r="G282" s="26" t="s">
        <v>880</v>
      </c>
    </row>
    <row r="283" spans="1:7" x14ac:dyDescent="0.2">
      <c r="A283" s="185"/>
      <c r="C283" s="26" t="str">
        <f t="shared" si="8"/>
        <v>Fehler</v>
      </c>
      <c r="D283" s="26" t="s">
        <v>610</v>
      </c>
      <c r="E283" s="26" t="s">
        <v>790</v>
      </c>
      <c r="F283" s="26" t="s">
        <v>669</v>
      </c>
      <c r="G283" s="26" t="s">
        <v>759</v>
      </c>
    </row>
    <row r="284" spans="1:7" x14ac:dyDescent="0.2">
      <c r="A284" s="185"/>
      <c r="C284" s="26" t="str">
        <f t="shared" si="8"/>
        <v>Sie müssen einen Eintrag aus der Liste wählen.</v>
      </c>
      <c r="D284" s="26" t="s">
        <v>45</v>
      </c>
      <c r="E284" s="26" t="s">
        <v>811</v>
      </c>
      <c r="F284" s="26" t="s">
        <v>690</v>
      </c>
      <c r="G284" s="26" t="s">
        <v>859</v>
      </c>
    </row>
    <row r="285" spans="1:7" x14ac:dyDescent="0.2">
      <c r="A285" s="184">
        <v>3</v>
      </c>
      <c r="B285" s="26" t="s">
        <v>596</v>
      </c>
      <c r="C285" s="26" t="str">
        <f t="shared" si="8"/>
        <v>Typischer Raum</v>
      </c>
      <c r="D285" s="26" t="s">
        <v>37</v>
      </c>
      <c r="E285" s="26" t="s">
        <v>818</v>
      </c>
      <c r="F285" s="26" t="s">
        <v>697</v>
      </c>
      <c r="G285" s="26" t="s">
        <v>866</v>
      </c>
    </row>
    <row r="286" spans="1:7" x14ac:dyDescent="0.2">
      <c r="A286" s="184"/>
      <c r="C286" s="26" t="str">
        <f t="shared" si="8"/>
        <v>Geben Sie hier die Raumbezeichnung ein. Räume der Nebennutzung sind nicht zu erfassen.</v>
      </c>
      <c r="D286" s="26" t="s">
        <v>585</v>
      </c>
      <c r="E286" s="26" t="s">
        <v>819</v>
      </c>
      <c r="F286" s="26" t="s">
        <v>698</v>
      </c>
      <c r="G286" s="26" t="s">
        <v>868</v>
      </c>
    </row>
    <row r="287" spans="1:7" x14ac:dyDescent="0.2">
      <c r="A287" s="184"/>
      <c r="C287" s="26" t="str">
        <f t="shared" si="8"/>
        <v>Fehler</v>
      </c>
      <c r="D287" s="26" t="s">
        <v>610</v>
      </c>
      <c r="E287" s="26" t="s">
        <v>790</v>
      </c>
      <c r="F287" s="26" t="s">
        <v>669</v>
      </c>
      <c r="G287" s="26" t="s">
        <v>759</v>
      </c>
    </row>
    <row r="288" spans="1:7" x14ac:dyDescent="0.2">
      <c r="A288" s="184"/>
      <c r="C288" s="26" t="str">
        <f t="shared" si="8"/>
        <v>Bitte in diesem Feld nur Text erfassen.</v>
      </c>
      <c r="D288" s="26" t="s">
        <v>611</v>
      </c>
      <c r="E288" s="26" t="s">
        <v>820</v>
      </c>
      <c r="F288" s="26" t="s">
        <v>699</v>
      </c>
      <c r="G288" s="26" t="s">
        <v>856</v>
      </c>
    </row>
    <row r="289" spans="1:7" x14ac:dyDescent="0.2">
      <c r="A289" s="184">
        <v>3</v>
      </c>
      <c r="B289" s="26" t="s">
        <v>597</v>
      </c>
      <c r="C289" s="26" t="str">
        <f t="shared" si="8"/>
        <v>Hauptnutzung</v>
      </c>
      <c r="D289" s="26" t="s">
        <v>64</v>
      </c>
      <c r="E289" s="26" t="s">
        <v>821</v>
      </c>
      <c r="F289" s="26" t="s">
        <v>700</v>
      </c>
      <c r="G289" s="26" t="s">
        <v>857</v>
      </c>
    </row>
    <row r="290" spans="1:7" x14ac:dyDescent="0.2">
      <c r="A290" s="184"/>
      <c r="C290" s="26" t="str">
        <f t="shared" si="8"/>
        <v>Wählen Sie einen Eintrag aus der Liste, welcher der Raumnutzung am besten entspricht. Räume der Nebennutzung sind nicht zu erfassen.</v>
      </c>
      <c r="D290" s="26" t="s">
        <v>584</v>
      </c>
      <c r="E290" s="26" t="s">
        <v>822</v>
      </c>
      <c r="F290" s="26" t="s">
        <v>701</v>
      </c>
      <c r="G290" s="26" t="s">
        <v>858</v>
      </c>
    </row>
    <row r="291" spans="1:7" x14ac:dyDescent="0.2">
      <c r="A291" s="184"/>
      <c r="C291" s="26" t="str">
        <f t="shared" si="8"/>
        <v>Fehler</v>
      </c>
      <c r="D291" s="26" t="s">
        <v>610</v>
      </c>
      <c r="E291" s="26" t="s">
        <v>790</v>
      </c>
      <c r="F291" s="26" t="s">
        <v>669</v>
      </c>
      <c r="G291" s="26" t="s">
        <v>759</v>
      </c>
    </row>
    <row r="292" spans="1:7" x14ac:dyDescent="0.2">
      <c r="A292" s="184"/>
      <c r="C292" s="26" t="str">
        <f t="shared" si="8"/>
        <v>Sie müssen einen Eintrag aus der Liste wählen.</v>
      </c>
      <c r="D292" s="26" t="s">
        <v>45</v>
      </c>
      <c r="E292" s="26" t="s">
        <v>811</v>
      </c>
      <c r="F292" s="26" t="s">
        <v>690</v>
      </c>
      <c r="G292" s="26" t="s">
        <v>859</v>
      </c>
    </row>
    <row r="293" spans="1:7" x14ac:dyDescent="0.2">
      <c r="A293" s="184">
        <v>3</v>
      </c>
      <c r="B293" s="26" t="s">
        <v>598</v>
      </c>
      <c r="C293" s="26" t="str">
        <f t="shared" si="8"/>
        <v>Länge</v>
      </c>
      <c r="D293" s="26" t="s">
        <v>586</v>
      </c>
      <c r="E293" s="26" t="s">
        <v>823</v>
      </c>
      <c r="F293" s="26" t="s">
        <v>674</v>
      </c>
      <c r="G293" s="26" t="s">
        <v>854</v>
      </c>
    </row>
    <row r="294" spans="1:7" x14ac:dyDescent="0.2">
      <c r="A294" s="184"/>
      <c r="C294" s="26" t="str">
        <f t="shared" si="8"/>
        <v>Geben Sie die Raumabmessungen ein.</v>
      </c>
      <c r="D294" s="26" t="s">
        <v>587</v>
      </c>
      <c r="E294" s="26" t="s">
        <v>824</v>
      </c>
      <c r="F294" s="26" t="s">
        <v>702</v>
      </c>
      <c r="G294" s="26" t="s">
        <v>855</v>
      </c>
    </row>
    <row r="295" spans="1:7" x14ac:dyDescent="0.2">
      <c r="A295" s="184"/>
      <c r="C295" s="26" t="str">
        <f t="shared" si="8"/>
        <v>Fehler</v>
      </c>
      <c r="D295" s="26" t="s">
        <v>610</v>
      </c>
      <c r="E295" s="26" t="s">
        <v>790</v>
      </c>
      <c r="F295" s="26" t="s">
        <v>669</v>
      </c>
      <c r="G295" s="26" t="s">
        <v>759</v>
      </c>
    </row>
    <row r="296" spans="1:7" x14ac:dyDescent="0.2">
      <c r="A296" s="184"/>
      <c r="C296" s="26" t="str">
        <f t="shared" si="8"/>
        <v>Sie müssen Werte zwischen 0 und 999 eingeben.</v>
      </c>
      <c r="D296" s="26" t="s">
        <v>641</v>
      </c>
      <c r="E296" s="26" t="s">
        <v>797</v>
      </c>
      <c r="F296" s="26" t="s">
        <v>852</v>
      </c>
      <c r="G296" s="26" t="s">
        <v>765</v>
      </c>
    </row>
    <row r="297" spans="1:7" x14ac:dyDescent="0.2">
      <c r="A297" s="184">
        <v>3</v>
      </c>
      <c r="B297" s="26" t="s">
        <v>599</v>
      </c>
      <c r="C297" s="26" t="str">
        <f t="shared" si="8"/>
        <v>Tiefe</v>
      </c>
      <c r="D297" s="26" t="s">
        <v>588</v>
      </c>
      <c r="E297" s="26" t="s">
        <v>826</v>
      </c>
      <c r="F297" s="26" t="s">
        <v>703</v>
      </c>
      <c r="G297" s="26" t="s">
        <v>865</v>
      </c>
    </row>
    <row r="298" spans="1:7" x14ac:dyDescent="0.2">
      <c r="A298" s="184"/>
      <c r="C298" s="26" t="str">
        <f t="shared" si="8"/>
        <v>Geben Sie die Raumabmessungen ein.</v>
      </c>
      <c r="D298" s="26" t="s">
        <v>587</v>
      </c>
      <c r="E298" s="26" t="s">
        <v>824</v>
      </c>
      <c r="F298" s="26" t="s">
        <v>702</v>
      </c>
      <c r="G298" s="26" t="s">
        <v>855</v>
      </c>
    </row>
    <row r="299" spans="1:7" x14ac:dyDescent="0.2">
      <c r="A299" s="184"/>
      <c r="C299" s="26" t="str">
        <f t="shared" si="8"/>
        <v>Fehler</v>
      </c>
      <c r="D299" s="26" t="s">
        <v>610</v>
      </c>
      <c r="E299" s="26" t="s">
        <v>790</v>
      </c>
      <c r="F299" s="26" t="s">
        <v>669</v>
      </c>
      <c r="G299" s="26" t="s">
        <v>759</v>
      </c>
    </row>
    <row r="300" spans="1:7" x14ac:dyDescent="0.2">
      <c r="A300" s="184"/>
      <c r="C300" s="26" t="str">
        <f t="shared" si="8"/>
        <v>Sie müssen Werte zwischen 0 und 999 eingeben.</v>
      </c>
      <c r="D300" s="26" t="s">
        <v>641</v>
      </c>
      <c r="E300" s="26" t="s">
        <v>797</v>
      </c>
      <c r="F300" s="26" t="s">
        <v>852</v>
      </c>
      <c r="G300" s="26" t="s">
        <v>765</v>
      </c>
    </row>
    <row r="301" spans="1:7" x14ac:dyDescent="0.2">
      <c r="A301" s="184">
        <v>3</v>
      </c>
      <c r="B301" s="26" t="s">
        <v>600</v>
      </c>
      <c r="C301" s="26" t="str">
        <f t="shared" ref="C301:C332" si="9">INDEX($D301:$G301,1,MATCH(Sprachwahl,ListSprache,0))</f>
        <v>Höhe</v>
      </c>
      <c r="D301" s="26" t="s">
        <v>71</v>
      </c>
      <c r="E301" s="26" t="s">
        <v>798</v>
      </c>
      <c r="F301" s="26" t="s">
        <v>677</v>
      </c>
      <c r="G301" s="26" t="s">
        <v>770</v>
      </c>
    </row>
    <row r="302" spans="1:7" x14ac:dyDescent="0.2">
      <c r="A302" s="184"/>
      <c r="C302" s="26" t="str">
        <f t="shared" si="9"/>
        <v>Geben Sie die lichte Raumhöhe ein. Falls der Raum verschiedene Raumhöhen aufweist, mitteln Sie die Höhe oder erfassen Sie die Bereiche separat.</v>
      </c>
      <c r="D302" s="26" t="s">
        <v>589</v>
      </c>
      <c r="E302" s="26" t="s">
        <v>827</v>
      </c>
      <c r="F302" s="26" t="s">
        <v>704</v>
      </c>
    </row>
    <row r="303" spans="1:7" x14ac:dyDescent="0.2">
      <c r="A303" s="184"/>
      <c r="C303" s="26" t="str">
        <f t="shared" si="9"/>
        <v>Fehler</v>
      </c>
      <c r="D303" s="26" t="s">
        <v>610</v>
      </c>
      <c r="E303" s="26" t="s">
        <v>790</v>
      </c>
      <c r="F303" s="26" t="s">
        <v>669</v>
      </c>
      <c r="G303" s="26" t="s">
        <v>759</v>
      </c>
    </row>
    <row r="304" spans="1:7" x14ac:dyDescent="0.2">
      <c r="A304" s="184"/>
      <c r="C304" s="26" t="str">
        <f t="shared" si="9"/>
        <v>Sie müssen Werte zwischen 0 und 99 eingeben.</v>
      </c>
      <c r="D304" s="26" t="s">
        <v>643</v>
      </c>
      <c r="E304" s="26" t="s">
        <v>806</v>
      </c>
      <c r="F304" s="26" t="s">
        <v>853</v>
      </c>
      <c r="G304" s="26" t="s">
        <v>766</v>
      </c>
    </row>
    <row r="305" spans="1:7" x14ac:dyDescent="0.2">
      <c r="A305" s="184">
        <v>3</v>
      </c>
      <c r="B305" s="26" t="s">
        <v>601</v>
      </c>
      <c r="C305" s="26" t="str">
        <f t="shared" si="9"/>
        <v>Fläche</v>
      </c>
      <c r="D305" s="26" t="s">
        <v>560</v>
      </c>
      <c r="E305" s="26" t="s">
        <v>828</v>
      </c>
      <c r="F305" s="26" t="s">
        <v>705</v>
      </c>
      <c r="G305" s="26" t="s">
        <v>864</v>
      </c>
    </row>
    <row r="306" spans="1:7" x14ac:dyDescent="0.2">
      <c r="A306" s="184"/>
      <c r="C306" s="26" t="str">
        <f t="shared" si="9"/>
        <v>Falls die Fläche nicht der Multiplikation von Länge und Breite entspricht, geben Sie diese hier ein, ansonsten leer lassen.</v>
      </c>
      <c r="D306" s="26" t="s">
        <v>590</v>
      </c>
      <c r="E306" s="26" t="s">
        <v>829</v>
      </c>
      <c r="F306" s="26" t="s">
        <v>706</v>
      </c>
    </row>
    <row r="307" spans="1:7" x14ac:dyDescent="0.2">
      <c r="A307" s="184"/>
      <c r="C307" s="26" t="str">
        <f t="shared" si="9"/>
        <v>Fehler</v>
      </c>
      <c r="D307" s="26" t="s">
        <v>610</v>
      </c>
      <c r="E307" s="26" t="s">
        <v>790</v>
      </c>
      <c r="F307" s="26" t="s">
        <v>669</v>
      </c>
      <c r="G307" s="26" t="s">
        <v>759</v>
      </c>
    </row>
    <row r="308" spans="1:7" x14ac:dyDescent="0.2">
      <c r="A308" s="184"/>
      <c r="C308" s="26" t="str">
        <f t="shared" si="9"/>
        <v>Sie müssen Werte zwischen 0 und 9999 eingeben.</v>
      </c>
      <c r="D308" s="26" t="s">
        <v>612</v>
      </c>
      <c r="E308" s="26" t="s">
        <v>825</v>
      </c>
      <c r="F308" s="26" t="s">
        <v>676</v>
      </c>
      <c r="G308" s="26" t="s">
        <v>869</v>
      </c>
    </row>
    <row r="309" spans="1:7" x14ac:dyDescent="0.2">
      <c r="A309" s="184">
        <v>3</v>
      </c>
      <c r="B309" s="26" t="s">
        <v>602</v>
      </c>
      <c r="C309" s="26" t="str">
        <f t="shared" si="9"/>
        <v>Anzahl</v>
      </c>
      <c r="D309" s="26" t="s">
        <v>66</v>
      </c>
      <c r="E309" s="26" t="s">
        <v>830</v>
      </c>
      <c r="F309" s="26" t="s">
        <v>707</v>
      </c>
      <c r="G309" s="26" t="s">
        <v>863</v>
      </c>
    </row>
    <row r="310" spans="1:7" x14ac:dyDescent="0.2">
      <c r="A310" s="184"/>
      <c r="C310" s="26" t="str">
        <f t="shared" si="9"/>
        <v>Geben Sie die Gesamtanzahl dieses Raumtyps im Gebäude ein.</v>
      </c>
      <c r="D310" s="26" t="s">
        <v>591</v>
      </c>
      <c r="E310" s="26" t="s">
        <v>831</v>
      </c>
      <c r="F310" s="26" t="s">
        <v>708</v>
      </c>
      <c r="G310" s="26" t="s">
        <v>870</v>
      </c>
    </row>
    <row r="311" spans="1:7" x14ac:dyDescent="0.2">
      <c r="A311" s="184"/>
      <c r="C311" s="26" t="str">
        <f t="shared" si="9"/>
        <v>Fehler</v>
      </c>
      <c r="D311" s="26" t="s">
        <v>610</v>
      </c>
      <c r="E311" s="26" t="s">
        <v>790</v>
      </c>
      <c r="F311" s="26" t="s">
        <v>669</v>
      </c>
      <c r="G311" s="26" t="s">
        <v>759</v>
      </c>
    </row>
    <row r="312" spans="1:7" x14ac:dyDescent="0.2">
      <c r="A312" s="184"/>
      <c r="C312" s="26" t="str">
        <f t="shared" si="9"/>
        <v>Sie müssen Werte zwischen -99 und 999 eingeben.</v>
      </c>
      <c r="D312" s="26" t="s">
        <v>872</v>
      </c>
      <c r="E312" s="26" t="s">
        <v>873</v>
      </c>
      <c r="F312" s="26" t="s">
        <v>874</v>
      </c>
      <c r="G312" s="26" t="s">
        <v>871</v>
      </c>
    </row>
    <row r="313" spans="1:7" x14ac:dyDescent="0.2">
      <c r="A313" s="184">
        <v>3</v>
      </c>
      <c r="B313" s="26" t="s">
        <v>603</v>
      </c>
      <c r="C313" s="26" t="str">
        <f t="shared" si="9"/>
        <v>Raumreflexion</v>
      </c>
      <c r="D313" s="26" t="s">
        <v>116</v>
      </c>
      <c r="E313" s="26" t="s">
        <v>833</v>
      </c>
      <c r="F313" s="26" t="s">
        <v>710</v>
      </c>
      <c r="G313" s="26" t="s">
        <v>862</v>
      </c>
    </row>
    <row r="314" spans="1:7" x14ac:dyDescent="0.2">
      <c r="A314" s="184"/>
      <c r="C314" s="26" t="str">
        <f t="shared" si="9"/>
        <v xml:space="preserve">Wählen Sie einen Eintrag aus der Liste. </v>
      </c>
      <c r="D314" s="26" t="s">
        <v>592</v>
      </c>
      <c r="E314" s="26" t="s">
        <v>834</v>
      </c>
      <c r="F314" s="26" t="s">
        <v>711</v>
      </c>
      <c r="G314" s="26" t="s">
        <v>858</v>
      </c>
    </row>
    <row r="315" spans="1:7" x14ac:dyDescent="0.2">
      <c r="A315" s="184"/>
      <c r="C315" s="26" t="str">
        <f t="shared" si="9"/>
        <v>Fehler</v>
      </c>
      <c r="D315" s="26" t="s">
        <v>610</v>
      </c>
      <c r="E315" s="26" t="s">
        <v>790</v>
      </c>
      <c r="F315" s="26" t="s">
        <v>669</v>
      </c>
      <c r="G315" s="26" t="s">
        <v>759</v>
      </c>
    </row>
    <row r="316" spans="1:7" x14ac:dyDescent="0.2">
      <c r="A316" s="184"/>
      <c r="C316" s="26" t="str">
        <f t="shared" si="9"/>
        <v>Sie müssen einen Eintrag aus der Liste wählen.</v>
      </c>
      <c r="D316" s="26" t="s">
        <v>45</v>
      </c>
      <c r="E316" s="26" t="s">
        <v>811</v>
      </c>
      <c r="F316" s="26" t="s">
        <v>690</v>
      </c>
      <c r="G316" s="26" t="s">
        <v>859</v>
      </c>
    </row>
    <row r="317" spans="1:7" x14ac:dyDescent="0.2">
      <c r="A317" s="184">
        <v>3</v>
      </c>
      <c r="B317" s="26" t="s">
        <v>604</v>
      </c>
      <c r="C317" s="26" t="str">
        <f t="shared" si="9"/>
        <v>Fenstertyp</v>
      </c>
      <c r="D317" s="26" t="s">
        <v>593</v>
      </c>
      <c r="E317" s="26" t="s">
        <v>835</v>
      </c>
      <c r="F317" s="26" t="s">
        <v>712</v>
      </c>
      <c r="G317" s="26" t="s">
        <v>860</v>
      </c>
    </row>
    <row r="318" spans="1:7" x14ac:dyDescent="0.2">
      <c r="A318" s="184"/>
      <c r="C318" s="26" t="str">
        <f t="shared" si="9"/>
        <v>Wählen Sie einen der im Blatt 'Fenster' erfassten Fenstertypen.</v>
      </c>
      <c r="D318" s="26" t="str">
        <f>"Wählen Sie einen der im Blatt '"&amp;Texte!$C$229&amp;"' erfassten Fenstertypen."</f>
        <v>Wählen Sie einen der im Blatt 'Fenster' erfassten Fenstertypen.</v>
      </c>
      <c r="E318" s="26" t="s">
        <v>1055</v>
      </c>
      <c r="F318" s="26" t="s">
        <v>713</v>
      </c>
      <c r="G318" s="26" t="s">
        <v>861</v>
      </c>
    </row>
    <row r="319" spans="1:7" x14ac:dyDescent="0.2">
      <c r="A319" s="184"/>
      <c r="C319" s="26" t="str">
        <f t="shared" si="9"/>
        <v>Fehler</v>
      </c>
      <c r="D319" s="26" t="s">
        <v>610</v>
      </c>
      <c r="E319" s="26" t="s">
        <v>790</v>
      </c>
      <c r="F319" s="26" t="s">
        <v>669</v>
      </c>
      <c r="G319" s="26" t="s">
        <v>759</v>
      </c>
    </row>
    <row r="320" spans="1:7" x14ac:dyDescent="0.2">
      <c r="A320" s="184"/>
      <c r="C320" s="26" t="str">
        <f t="shared" si="9"/>
        <v>Sie müssen einen Eintrag aus der Liste wählen.</v>
      </c>
      <c r="D320" s="26" t="s">
        <v>45</v>
      </c>
      <c r="E320" s="26" t="s">
        <v>811</v>
      </c>
      <c r="F320" s="26" t="s">
        <v>690</v>
      </c>
      <c r="G320" s="26" t="s">
        <v>859</v>
      </c>
    </row>
    <row r="321" spans="1:7" x14ac:dyDescent="0.2">
      <c r="A321" s="184">
        <v>3</v>
      </c>
      <c r="B321" s="26" t="s">
        <v>605</v>
      </c>
      <c r="C321" s="26" t="str">
        <f t="shared" si="9"/>
        <v>Anzahl</v>
      </c>
      <c r="D321" s="26" t="s">
        <v>66</v>
      </c>
      <c r="E321" s="26" t="s">
        <v>830</v>
      </c>
      <c r="F321" s="26" t="s">
        <v>707</v>
      </c>
      <c r="G321" s="26" t="s">
        <v>863</v>
      </c>
    </row>
    <row r="322" spans="1:7" x14ac:dyDescent="0.2">
      <c r="A322" s="184"/>
      <c r="C322" s="26" t="str">
        <f t="shared" si="9"/>
        <v>Geben Sie die Gesamtanzahl dieses Fenstertyps ein.</v>
      </c>
      <c r="D322" s="26" t="s">
        <v>614</v>
      </c>
      <c r="E322" s="26" t="s">
        <v>837</v>
      </c>
      <c r="F322" s="26" t="s">
        <v>714</v>
      </c>
      <c r="G322" s="26" t="s">
        <v>875</v>
      </c>
    </row>
    <row r="323" spans="1:7" x14ac:dyDescent="0.2">
      <c r="A323" s="184"/>
      <c r="C323" s="26" t="str">
        <f t="shared" si="9"/>
        <v>Fehler</v>
      </c>
      <c r="D323" s="26" t="s">
        <v>610</v>
      </c>
      <c r="E323" s="26" t="s">
        <v>790</v>
      </c>
      <c r="F323" s="26" t="s">
        <v>669</v>
      </c>
      <c r="G323" s="26" t="s">
        <v>759</v>
      </c>
    </row>
    <row r="324" spans="1:7" x14ac:dyDescent="0.2">
      <c r="A324" s="184"/>
      <c r="C324" s="26" t="str">
        <f t="shared" si="9"/>
        <v>Sie müssen ganzzahlige Werte zwischen 0 und 999 eingeben.</v>
      </c>
      <c r="D324" s="26" t="s">
        <v>613</v>
      </c>
      <c r="E324" s="26" t="s">
        <v>832</v>
      </c>
      <c r="F324" s="26" t="s">
        <v>709</v>
      </c>
      <c r="G324" s="26" t="s">
        <v>765</v>
      </c>
    </row>
    <row r="325" spans="1:7" x14ac:dyDescent="0.2">
      <c r="A325" s="184">
        <v>3</v>
      </c>
      <c r="B325" s="26" t="s">
        <v>606</v>
      </c>
      <c r="C325" s="26" t="str">
        <f t="shared" si="9"/>
        <v>Fenstertyp</v>
      </c>
      <c r="D325" s="26" t="s">
        <v>593</v>
      </c>
      <c r="E325" s="26" t="s">
        <v>835</v>
      </c>
      <c r="F325" s="26" t="s">
        <v>712</v>
      </c>
      <c r="G325" s="26" t="s">
        <v>860</v>
      </c>
    </row>
    <row r="326" spans="1:7" x14ac:dyDescent="0.2">
      <c r="A326" s="184"/>
      <c r="C326" s="26" t="str">
        <f t="shared" si="9"/>
        <v>Wählen Sie einen der im Blatt 'Fenster' erfassten Fenstertypen.</v>
      </c>
      <c r="D326" s="26" t="str">
        <f>"Wählen Sie einen der im Blatt '"&amp;Texte!$C$229&amp;"' erfassten Fenstertypen."</f>
        <v>Wählen Sie einen der im Blatt 'Fenster' erfassten Fenstertypen.</v>
      </c>
      <c r="E326" s="26" t="s">
        <v>836</v>
      </c>
      <c r="F326" s="26" t="s">
        <v>713</v>
      </c>
      <c r="G326" s="26" t="s">
        <v>861</v>
      </c>
    </row>
    <row r="327" spans="1:7" x14ac:dyDescent="0.2">
      <c r="A327" s="184"/>
      <c r="C327" s="26" t="str">
        <f t="shared" si="9"/>
        <v>Fehler</v>
      </c>
      <c r="D327" s="26" t="s">
        <v>610</v>
      </c>
      <c r="E327" s="26" t="s">
        <v>790</v>
      </c>
      <c r="F327" s="26" t="s">
        <v>669</v>
      </c>
      <c r="G327" s="26" t="s">
        <v>759</v>
      </c>
    </row>
    <row r="328" spans="1:7" x14ac:dyDescent="0.2">
      <c r="A328" s="184"/>
      <c r="C328" s="26" t="str">
        <f t="shared" si="9"/>
        <v>Sie müssen einen Eintrag aus der Liste wählen.</v>
      </c>
      <c r="D328" s="26" t="s">
        <v>45</v>
      </c>
      <c r="E328" s="26" t="s">
        <v>811</v>
      </c>
      <c r="F328" s="26" t="s">
        <v>690</v>
      </c>
      <c r="G328" s="26" t="s">
        <v>859</v>
      </c>
    </row>
    <row r="329" spans="1:7" x14ac:dyDescent="0.2">
      <c r="A329" s="184">
        <v>3</v>
      </c>
      <c r="B329" s="26" t="s">
        <v>607</v>
      </c>
      <c r="C329" s="26" t="str">
        <f t="shared" si="9"/>
        <v>Anzahl</v>
      </c>
      <c r="D329" s="26" t="s">
        <v>66</v>
      </c>
      <c r="E329" s="26" t="s">
        <v>830</v>
      </c>
      <c r="F329" s="26" t="s">
        <v>707</v>
      </c>
      <c r="G329" s="26" t="s">
        <v>863</v>
      </c>
    </row>
    <row r="330" spans="1:7" x14ac:dyDescent="0.2">
      <c r="A330" s="184"/>
      <c r="C330" s="26" t="str">
        <f t="shared" si="9"/>
        <v>Geben Sie die Gesamtanzahl dieses Fenstertyps ein.</v>
      </c>
      <c r="D330" s="26" t="s">
        <v>614</v>
      </c>
      <c r="E330" s="26" t="s">
        <v>837</v>
      </c>
      <c r="F330" s="26" t="s">
        <v>714</v>
      </c>
      <c r="G330" s="26" t="s">
        <v>875</v>
      </c>
    </row>
    <row r="331" spans="1:7" x14ac:dyDescent="0.2">
      <c r="A331" s="184"/>
      <c r="C331" s="26" t="str">
        <f t="shared" si="9"/>
        <v>Fehler</v>
      </c>
      <c r="D331" s="26" t="s">
        <v>610</v>
      </c>
      <c r="E331" s="26" t="s">
        <v>790</v>
      </c>
      <c r="F331" s="26" t="s">
        <v>669</v>
      </c>
      <c r="G331" s="26" t="s">
        <v>759</v>
      </c>
    </row>
    <row r="332" spans="1:7" x14ac:dyDescent="0.2">
      <c r="A332" s="184"/>
      <c r="C332" s="26" t="str">
        <f t="shared" si="9"/>
        <v>Sie müssen ganzzahlige Werte zwischen 0 und 999 eingeben.</v>
      </c>
      <c r="D332" s="26" t="s">
        <v>613</v>
      </c>
      <c r="E332" s="26" t="s">
        <v>832</v>
      </c>
      <c r="F332" s="26" t="s">
        <v>709</v>
      </c>
      <c r="G332" s="26" t="s">
        <v>765</v>
      </c>
    </row>
    <row r="333" spans="1:7" x14ac:dyDescent="0.2">
      <c r="A333" s="184">
        <v>3</v>
      </c>
      <c r="B333" s="26" t="s">
        <v>615</v>
      </c>
      <c r="C333" s="26" t="str">
        <f t="shared" ref="C333:C360" si="10">INDEX($D333:$G333,1,MATCH(Sprachwahl,ListSprache,0))</f>
        <v>Fenstertyp</v>
      </c>
      <c r="D333" s="26" t="s">
        <v>593</v>
      </c>
      <c r="E333" s="26" t="s">
        <v>835</v>
      </c>
      <c r="F333" s="26" t="s">
        <v>712</v>
      </c>
      <c r="G333" s="26" t="s">
        <v>860</v>
      </c>
    </row>
    <row r="334" spans="1:7" x14ac:dyDescent="0.2">
      <c r="A334" s="184"/>
      <c r="C334" s="26" t="str">
        <f t="shared" si="10"/>
        <v>Wählen Sie einen der im Blatt 'Fenster' erfassten Fenstertypen.</v>
      </c>
      <c r="D334" s="26" t="str">
        <f>"Wählen Sie einen der im Blatt '"&amp;Texte!$C$229&amp;"' erfassten Fenstertypen."</f>
        <v>Wählen Sie einen der im Blatt 'Fenster' erfassten Fenstertypen.</v>
      </c>
      <c r="E334" s="26" t="s">
        <v>836</v>
      </c>
      <c r="F334" s="26" t="s">
        <v>713</v>
      </c>
      <c r="G334" s="26" t="s">
        <v>861</v>
      </c>
    </row>
    <row r="335" spans="1:7" x14ac:dyDescent="0.2">
      <c r="A335" s="184"/>
      <c r="C335" s="26" t="str">
        <f t="shared" si="10"/>
        <v>Fehler</v>
      </c>
      <c r="D335" s="26" t="s">
        <v>610</v>
      </c>
      <c r="E335" s="26" t="s">
        <v>790</v>
      </c>
      <c r="F335" s="26" t="s">
        <v>669</v>
      </c>
      <c r="G335" s="26" t="s">
        <v>759</v>
      </c>
    </row>
    <row r="336" spans="1:7" x14ac:dyDescent="0.2">
      <c r="A336" s="184"/>
      <c r="C336" s="26" t="str">
        <f t="shared" si="10"/>
        <v>Sie müssen einen Eintrag aus der Liste wählen.</v>
      </c>
      <c r="D336" s="26" t="s">
        <v>45</v>
      </c>
      <c r="E336" s="26" t="s">
        <v>811</v>
      </c>
      <c r="F336" s="26" t="s">
        <v>690</v>
      </c>
      <c r="G336" s="26" t="s">
        <v>859</v>
      </c>
    </row>
    <row r="337" spans="1:7" x14ac:dyDescent="0.2">
      <c r="A337" s="184">
        <v>3</v>
      </c>
      <c r="B337" s="26" t="s">
        <v>616</v>
      </c>
      <c r="C337" s="26" t="str">
        <f t="shared" si="10"/>
        <v>Anzahl</v>
      </c>
      <c r="D337" s="26" t="s">
        <v>66</v>
      </c>
      <c r="E337" s="26" t="s">
        <v>830</v>
      </c>
      <c r="F337" s="26" t="s">
        <v>707</v>
      </c>
      <c r="G337" s="26" t="s">
        <v>863</v>
      </c>
    </row>
    <row r="338" spans="1:7" x14ac:dyDescent="0.2">
      <c r="A338" s="184"/>
      <c r="C338" s="26" t="str">
        <f t="shared" si="10"/>
        <v>Geben Sie die Gesamtanzahl dieses Fenstertyps ein.</v>
      </c>
      <c r="D338" s="26" t="s">
        <v>614</v>
      </c>
      <c r="E338" s="26" t="s">
        <v>837</v>
      </c>
      <c r="F338" s="26" t="s">
        <v>714</v>
      </c>
      <c r="G338" s="26" t="s">
        <v>875</v>
      </c>
    </row>
    <row r="339" spans="1:7" x14ac:dyDescent="0.2">
      <c r="A339" s="184"/>
      <c r="C339" s="26" t="str">
        <f t="shared" si="10"/>
        <v>Fehler</v>
      </c>
      <c r="D339" s="26" t="s">
        <v>610</v>
      </c>
      <c r="E339" s="26" t="s">
        <v>790</v>
      </c>
      <c r="F339" s="26" t="s">
        <v>669</v>
      </c>
      <c r="G339" s="26" t="s">
        <v>759</v>
      </c>
    </row>
    <row r="340" spans="1:7" x14ac:dyDescent="0.2">
      <c r="A340" s="184"/>
      <c r="C340" s="26" t="str">
        <f t="shared" si="10"/>
        <v>Sie müssen ganzzahlige Werte zwischen 0 und 999 eingeben.</v>
      </c>
      <c r="D340" s="26" t="s">
        <v>613</v>
      </c>
      <c r="E340" s="26" t="s">
        <v>832</v>
      </c>
      <c r="F340" s="26" t="s">
        <v>709</v>
      </c>
      <c r="G340" s="26" t="s">
        <v>996</v>
      </c>
    </row>
    <row r="341" spans="1:7" x14ac:dyDescent="0.2">
      <c r="A341" s="184">
        <v>3</v>
      </c>
      <c r="B341" s="26" t="s">
        <v>617</v>
      </c>
      <c r="C341" s="26" t="str">
        <f t="shared" si="10"/>
        <v>Fenstertyp</v>
      </c>
      <c r="D341" s="26" t="s">
        <v>593</v>
      </c>
      <c r="E341" s="26" t="s">
        <v>835</v>
      </c>
      <c r="F341" s="26" t="s">
        <v>712</v>
      </c>
      <c r="G341" s="26" t="s">
        <v>860</v>
      </c>
    </row>
    <row r="342" spans="1:7" x14ac:dyDescent="0.2">
      <c r="A342" s="184"/>
      <c r="C342" s="26" t="str">
        <f t="shared" si="10"/>
        <v>Wählen Sie einen der im Blatt 'Fenster' erfassten Fenstertypen.</v>
      </c>
      <c r="D342" s="26" t="str">
        <f>"Wählen Sie einen der im Blatt '"&amp;Texte!$C$229&amp;"' erfassten Fenstertypen."</f>
        <v>Wählen Sie einen der im Blatt 'Fenster' erfassten Fenstertypen.</v>
      </c>
      <c r="E342" s="26" t="s">
        <v>836</v>
      </c>
      <c r="F342" s="26" t="s">
        <v>713</v>
      </c>
      <c r="G342" s="26" t="s">
        <v>861</v>
      </c>
    </row>
    <row r="343" spans="1:7" x14ac:dyDescent="0.2">
      <c r="A343" s="184"/>
      <c r="C343" s="26" t="str">
        <f t="shared" si="10"/>
        <v>Fehler</v>
      </c>
      <c r="D343" s="26" t="s">
        <v>610</v>
      </c>
      <c r="E343" s="26" t="s">
        <v>790</v>
      </c>
      <c r="F343" s="26" t="s">
        <v>669</v>
      </c>
      <c r="G343" s="26" t="s">
        <v>759</v>
      </c>
    </row>
    <row r="344" spans="1:7" x14ac:dyDescent="0.2">
      <c r="A344" s="184"/>
      <c r="C344" s="26" t="str">
        <f t="shared" si="10"/>
        <v>Sie müssen einen Eintrag aus der Liste wählen.</v>
      </c>
      <c r="D344" s="26" t="s">
        <v>45</v>
      </c>
      <c r="E344" s="26" t="s">
        <v>811</v>
      </c>
      <c r="F344" s="26" t="s">
        <v>690</v>
      </c>
      <c r="G344" s="26" t="s">
        <v>859</v>
      </c>
    </row>
    <row r="345" spans="1:7" x14ac:dyDescent="0.2">
      <c r="A345" s="184">
        <v>3</v>
      </c>
      <c r="B345" s="26" t="s">
        <v>618</v>
      </c>
      <c r="C345" s="26" t="str">
        <f t="shared" si="10"/>
        <v>Anzahl</v>
      </c>
      <c r="D345" s="26" t="s">
        <v>66</v>
      </c>
      <c r="E345" s="26" t="s">
        <v>830</v>
      </c>
      <c r="F345" s="26" t="s">
        <v>707</v>
      </c>
      <c r="G345" s="26" t="s">
        <v>863</v>
      </c>
    </row>
    <row r="346" spans="1:7" x14ac:dyDescent="0.2">
      <c r="A346" s="184"/>
      <c r="C346" s="26" t="str">
        <f t="shared" si="10"/>
        <v>Geben Sie die Gesamtanzahl dieses Fenstertyps ein.</v>
      </c>
      <c r="D346" s="26" t="s">
        <v>614</v>
      </c>
      <c r="E346" s="26" t="s">
        <v>837</v>
      </c>
      <c r="F346" s="26" t="s">
        <v>714</v>
      </c>
      <c r="G346" s="26" t="s">
        <v>875</v>
      </c>
    </row>
    <row r="347" spans="1:7" x14ac:dyDescent="0.2">
      <c r="A347" s="184"/>
      <c r="C347" s="26" t="str">
        <f t="shared" si="10"/>
        <v>Fehler</v>
      </c>
      <c r="D347" s="26" t="s">
        <v>610</v>
      </c>
      <c r="E347" s="26" t="s">
        <v>790</v>
      </c>
      <c r="F347" s="26" t="s">
        <v>669</v>
      </c>
      <c r="G347" s="26" t="s">
        <v>759</v>
      </c>
    </row>
    <row r="348" spans="1:7" x14ac:dyDescent="0.2">
      <c r="A348" s="184"/>
      <c r="C348" s="26" t="str">
        <f t="shared" si="10"/>
        <v>Sie müssen ganzzahlige Werte zwischen 0 und 999 eingeben.</v>
      </c>
      <c r="D348" s="26" t="s">
        <v>613</v>
      </c>
      <c r="E348" s="26" t="s">
        <v>832</v>
      </c>
      <c r="F348" s="26" t="s">
        <v>709</v>
      </c>
      <c r="G348" s="26" t="s">
        <v>765</v>
      </c>
    </row>
    <row r="349" spans="1:7" x14ac:dyDescent="0.2">
      <c r="A349" s="227">
        <v>4</v>
      </c>
      <c r="B349" s="26" t="s">
        <v>597</v>
      </c>
      <c r="C349" s="26" t="str">
        <f t="shared" si="10"/>
        <v>Tiefe genutzter Bereich</v>
      </c>
      <c r="D349" s="26" t="s">
        <v>983</v>
      </c>
      <c r="E349" s="26" t="s">
        <v>1036</v>
      </c>
      <c r="F349" s="26" t="s">
        <v>934</v>
      </c>
      <c r="G349" s="26" t="s">
        <v>936</v>
      </c>
    </row>
    <row r="350" spans="1:7" x14ac:dyDescent="0.2">
      <c r="A350" s="227"/>
      <c r="C350" s="26" t="str">
        <f t="shared" si="10"/>
        <v>Geben Sie die Tiefe der von Personen dauernd genutzten Bereiche (gemessen ab Fassade) ein.</v>
      </c>
      <c r="D350" s="26" t="s">
        <v>984</v>
      </c>
      <c r="E350" s="26" t="s">
        <v>998</v>
      </c>
      <c r="F350" s="26" t="s">
        <v>997</v>
      </c>
      <c r="G350" s="26" t="s">
        <v>999</v>
      </c>
    </row>
    <row r="351" spans="1:7" x14ac:dyDescent="0.2">
      <c r="A351" s="227"/>
      <c r="C351" s="26" t="str">
        <f t="shared" si="10"/>
        <v>Fehler</v>
      </c>
      <c r="D351" s="26" t="s">
        <v>610</v>
      </c>
      <c r="E351" s="26" t="s">
        <v>790</v>
      </c>
      <c r="F351" s="26" t="s">
        <v>669</v>
      </c>
      <c r="G351" s="26" t="s">
        <v>759</v>
      </c>
    </row>
    <row r="352" spans="1:7" x14ac:dyDescent="0.2">
      <c r="A352" s="227"/>
      <c r="C352" s="26" t="str">
        <f t="shared" si="10"/>
        <v>Sie müssen Werte zwischen 0 und 999 eingeben.</v>
      </c>
      <c r="D352" s="26" t="s">
        <v>641</v>
      </c>
      <c r="E352" s="26" t="s">
        <v>797</v>
      </c>
      <c r="F352" s="26" t="s">
        <v>852</v>
      </c>
      <c r="G352" s="26" t="s">
        <v>765</v>
      </c>
    </row>
    <row r="353" spans="1:7" x14ac:dyDescent="0.2">
      <c r="A353" s="227">
        <v>4</v>
      </c>
      <c r="B353" s="26" t="s">
        <v>598</v>
      </c>
      <c r="C353" s="26" t="str">
        <f t="shared" si="10"/>
        <v>Sichtweite</v>
      </c>
      <c r="D353" s="26" t="s">
        <v>985</v>
      </c>
      <c r="E353" s="26" t="s">
        <v>940</v>
      </c>
      <c r="F353" s="26" t="s">
        <v>941</v>
      </c>
      <c r="G353" s="26" t="s">
        <v>939</v>
      </c>
    </row>
    <row r="354" spans="1:7" x14ac:dyDescent="0.2">
      <c r="A354" s="227"/>
      <c r="C354" s="26" t="str">
        <f t="shared" si="10"/>
        <v>Geben Sie den Abstand zum nächsten Objekt (gemessen ab Fassade) ein.</v>
      </c>
      <c r="D354" s="26" t="s">
        <v>986</v>
      </c>
      <c r="E354" s="26" t="s">
        <v>994</v>
      </c>
      <c r="F354" s="26" t="s">
        <v>995</v>
      </c>
      <c r="G354" s="26" t="s">
        <v>993</v>
      </c>
    </row>
    <row r="355" spans="1:7" x14ac:dyDescent="0.2">
      <c r="A355" s="227"/>
      <c r="C355" s="26" t="str">
        <f t="shared" si="10"/>
        <v>Fehler</v>
      </c>
      <c r="D355" s="26" t="s">
        <v>610</v>
      </c>
      <c r="E355" s="26" t="s">
        <v>790</v>
      </c>
      <c r="F355" s="26" t="s">
        <v>669</v>
      </c>
      <c r="G355" s="26" t="s">
        <v>759</v>
      </c>
    </row>
    <row r="356" spans="1:7" x14ac:dyDescent="0.2">
      <c r="A356" s="227"/>
      <c r="C356" s="26" t="str">
        <f t="shared" si="10"/>
        <v>Sie müssen ganzzahlige Werte zwischen 0 und 9999 eingeben.</v>
      </c>
      <c r="D356" s="26" t="s">
        <v>987</v>
      </c>
      <c r="E356" s="26" t="s">
        <v>832</v>
      </c>
      <c r="F356" s="26" t="s">
        <v>709</v>
      </c>
      <c r="G356" s="26" t="s">
        <v>996</v>
      </c>
    </row>
    <row r="357" spans="1:7" x14ac:dyDescent="0.2">
      <c r="A357" s="227">
        <v>4</v>
      </c>
      <c r="B357" s="26" t="s">
        <v>599</v>
      </c>
      <c r="C357" s="26" t="str">
        <f t="shared" si="10"/>
        <v>Sichtebene</v>
      </c>
      <c r="D357" s="26" t="s">
        <v>893</v>
      </c>
      <c r="E357" s="26" t="s">
        <v>990</v>
      </c>
      <c r="F357" s="26" t="s">
        <v>991</v>
      </c>
      <c r="G357" s="26" t="s">
        <v>992</v>
      </c>
    </row>
    <row r="358" spans="1:7" x14ac:dyDescent="0.2">
      <c r="A358" s="227"/>
      <c r="C358" s="26" t="str">
        <f t="shared" si="10"/>
        <v>Wählen Sie die vom entferntesten Punkt aus in einer Höhe von 1.2 Meter (sitzende Tätigkeit) bzw. 1.7 Meter (stehende Tätigkeit) beim Blick durchs Fenster sichtbaren Ebenen.</v>
      </c>
      <c r="D358" s="26" t="s">
        <v>988</v>
      </c>
      <c r="E358" s="26" t="s">
        <v>1002</v>
      </c>
      <c r="F358" s="26" t="s">
        <v>1001</v>
      </c>
      <c r="G358" s="26" t="s">
        <v>1000</v>
      </c>
    </row>
    <row r="359" spans="1:7" x14ac:dyDescent="0.2">
      <c r="A359" s="227"/>
      <c r="C359" s="26" t="str">
        <f t="shared" si="10"/>
        <v>Fehler</v>
      </c>
      <c r="D359" s="26" t="s">
        <v>610</v>
      </c>
      <c r="E359" s="26" t="s">
        <v>790</v>
      </c>
      <c r="F359" s="26" t="s">
        <v>669</v>
      </c>
      <c r="G359" s="26" t="s">
        <v>759</v>
      </c>
    </row>
    <row r="360" spans="1:7" x14ac:dyDescent="0.2">
      <c r="A360" s="227"/>
      <c r="C360" s="26" t="str">
        <f t="shared" si="10"/>
        <v>Sie müssen einen Eintrag aus der Liste wählen.</v>
      </c>
      <c r="D360" s="26" t="s">
        <v>45</v>
      </c>
      <c r="E360" s="26" t="s">
        <v>811</v>
      </c>
      <c r="F360" s="26" t="s">
        <v>690</v>
      </c>
      <c r="G360" s="26" t="s">
        <v>859</v>
      </c>
    </row>
  </sheetData>
  <pageMargins left="0.7" right="0.7" top="0.78740157499999996" bottom="0.78740157499999996"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D29"/>
  <sheetViews>
    <sheetView workbookViewId="0">
      <selection activeCell="C6" sqref="C6"/>
    </sheetView>
  </sheetViews>
  <sheetFormatPr baseColWidth="10" defaultRowHeight="15" x14ac:dyDescent="0.2"/>
  <cols>
    <col min="2" max="2" width="73.21875" customWidth="1"/>
  </cols>
  <sheetData>
    <row r="1" spans="1:4" ht="23.25" x14ac:dyDescent="0.35">
      <c r="A1" s="70" t="s">
        <v>1021</v>
      </c>
    </row>
    <row r="3" spans="1:4" x14ac:dyDescent="0.2">
      <c r="A3" s="39" t="s">
        <v>1022</v>
      </c>
      <c r="B3" s="39" t="s">
        <v>1023</v>
      </c>
      <c r="C3" s="39" t="s">
        <v>1024</v>
      </c>
      <c r="D3" s="39" t="s">
        <v>1025</v>
      </c>
    </row>
    <row r="4" spans="1:4" x14ac:dyDescent="0.2">
      <c r="A4" s="231" t="s">
        <v>1029</v>
      </c>
      <c r="B4" s="19" t="s">
        <v>1026</v>
      </c>
      <c r="C4" s="229">
        <v>43106</v>
      </c>
      <c r="D4" s="19" t="s">
        <v>1027</v>
      </c>
    </row>
    <row r="5" spans="1:4" x14ac:dyDescent="0.2">
      <c r="A5" s="231" t="s">
        <v>1028</v>
      </c>
      <c r="B5" s="19" t="s">
        <v>1030</v>
      </c>
      <c r="C5" s="229">
        <v>43830</v>
      </c>
      <c r="D5" s="19" t="s">
        <v>1027</v>
      </c>
    </row>
    <row r="6" spans="1:4" x14ac:dyDescent="0.2">
      <c r="A6" s="231" t="s">
        <v>1037</v>
      </c>
      <c r="B6" s="19" t="s">
        <v>1056</v>
      </c>
      <c r="C6" s="229">
        <v>44246</v>
      </c>
      <c r="D6" s="19" t="s">
        <v>1027</v>
      </c>
    </row>
    <row r="7" spans="1:4" x14ac:dyDescent="0.2">
      <c r="A7" s="19"/>
      <c r="B7" s="19"/>
      <c r="C7" s="19"/>
      <c r="D7" s="19"/>
    </row>
    <row r="8" spans="1:4" x14ac:dyDescent="0.2">
      <c r="A8" s="19"/>
      <c r="B8" s="19"/>
      <c r="C8" s="19"/>
      <c r="D8" s="19"/>
    </row>
    <row r="9" spans="1:4" x14ac:dyDescent="0.2">
      <c r="A9" s="19"/>
      <c r="B9" s="19"/>
      <c r="C9" s="19"/>
      <c r="D9" s="19"/>
    </row>
    <row r="10" spans="1:4" x14ac:dyDescent="0.2">
      <c r="A10" s="19"/>
      <c r="B10" s="19"/>
      <c r="C10" s="19"/>
      <c r="D10" s="19"/>
    </row>
    <row r="11" spans="1:4" x14ac:dyDescent="0.2">
      <c r="A11" s="19"/>
      <c r="B11" s="19"/>
      <c r="C11" s="19"/>
      <c r="D11" s="19"/>
    </row>
    <row r="12" spans="1:4" x14ac:dyDescent="0.2">
      <c r="A12" s="19"/>
      <c r="B12" s="19"/>
      <c r="C12" s="19"/>
      <c r="D12" s="19"/>
    </row>
    <row r="13" spans="1:4" x14ac:dyDescent="0.2">
      <c r="A13" s="19"/>
      <c r="B13" s="19"/>
      <c r="C13" s="19"/>
      <c r="D13" s="19"/>
    </row>
    <row r="14" spans="1:4" x14ac:dyDescent="0.2">
      <c r="A14" s="19"/>
      <c r="B14" s="19"/>
      <c r="C14" s="19"/>
      <c r="D14" s="19"/>
    </row>
    <row r="15" spans="1:4" x14ac:dyDescent="0.2">
      <c r="A15" s="19"/>
      <c r="B15" s="19"/>
      <c r="C15" s="19"/>
      <c r="D15" s="19"/>
    </row>
    <row r="16" spans="1:4" x14ac:dyDescent="0.2">
      <c r="A16" s="19"/>
      <c r="B16" s="19"/>
      <c r="C16" s="19"/>
      <c r="D16" s="19"/>
    </row>
    <row r="17" spans="1:4" x14ac:dyDescent="0.2">
      <c r="A17" s="19"/>
      <c r="B17" s="19"/>
      <c r="C17" s="19"/>
      <c r="D17" s="19"/>
    </row>
    <row r="18" spans="1:4" x14ac:dyDescent="0.2">
      <c r="A18" s="19"/>
      <c r="B18" s="19"/>
      <c r="C18" s="19"/>
      <c r="D18" s="19"/>
    </row>
    <row r="19" spans="1:4" x14ac:dyDescent="0.2">
      <c r="A19" s="19"/>
      <c r="B19" s="19"/>
      <c r="C19" s="19"/>
      <c r="D19" s="19"/>
    </row>
    <row r="20" spans="1:4" x14ac:dyDescent="0.2">
      <c r="A20" s="19"/>
      <c r="B20" s="19"/>
      <c r="C20" s="19"/>
      <c r="D20" s="19"/>
    </row>
    <row r="21" spans="1:4" x14ac:dyDescent="0.2">
      <c r="A21" s="19"/>
      <c r="B21" s="19"/>
      <c r="C21" s="19"/>
      <c r="D21" s="19"/>
    </row>
    <row r="22" spans="1:4" x14ac:dyDescent="0.2">
      <c r="A22" s="19"/>
      <c r="B22" s="19"/>
      <c r="C22" s="19"/>
      <c r="D22" s="19"/>
    </row>
    <row r="23" spans="1:4" x14ac:dyDescent="0.2">
      <c r="A23" s="19"/>
      <c r="B23" s="19"/>
      <c r="C23" s="19"/>
      <c r="D23" s="19"/>
    </row>
    <row r="24" spans="1:4" x14ac:dyDescent="0.2">
      <c r="A24" s="19"/>
      <c r="B24" s="19"/>
      <c r="C24" s="19"/>
      <c r="D24" s="19"/>
    </row>
    <row r="25" spans="1:4" x14ac:dyDescent="0.2">
      <c r="A25" s="19"/>
      <c r="B25" s="19"/>
      <c r="C25" s="19"/>
      <c r="D25" s="19"/>
    </row>
    <row r="26" spans="1:4" x14ac:dyDescent="0.2">
      <c r="A26" s="19"/>
      <c r="B26" s="19"/>
      <c r="C26" s="19"/>
      <c r="D26" s="19"/>
    </row>
    <row r="27" spans="1:4" x14ac:dyDescent="0.2">
      <c r="A27" s="19"/>
      <c r="B27" s="19"/>
      <c r="C27" s="19"/>
      <c r="D27" s="19"/>
    </row>
    <row r="28" spans="1:4" x14ac:dyDescent="0.2">
      <c r="A28" s="230"/>
      <c r="B28" s="230"/>
      <c r="C28" s="230"/>
      <c r="D28" s="230"/>
    </row>
    <row r="29" spans="1:4" x14ac:dyDescent="0.2">
      <c r="A29" s="232" t="str">
        <f>INDEX($A$4:$A$28,SUMPRODUCT(MAX(($A$4:$A$28&lt;&gt;"")*ROW($A$4:$A$28)))-3,1)</f>
        <v>2.11</v>
      </c>
      <c r="B29" s="39"/>
      <c r="C29" s="39"/>
      <c r="D29" s="39"/>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9ded8a6-640d-4e2b-81aa-3f415abfbf2d">
      <Terms xmlns="http://schemas.microsoft.com/office/infopath/2007/PartnerControls"/>
    </lcf76f155ced4ddcb4097134ff3c332f>
    <TaxCatchAll xmlns="19415a2c-3045-4769-8042-b2d573daa356" xsi:nil="true"/>
    <_dlc_DocId xmlns="19415a2c-3045-4769-8042-b2d573daa356">SKCW24DMUQ4M-227545371-75008</_dlc_DocId>
    <_dlc_DocIdUrl xmlns="19415a2c-3045-4769-8042-b2d573daa356">
      <Url>https://mst239701.sharepoint.com/sites/Files/_layouts/15/DocIdRedir.aspx?ID=SKCW24DMUQ4M-227545371-75008</Url>
      <Description>SKCW24DMUQ4M-227545371-75008</Description>
    </_dlc_DocIdUrl>
  </documentManagement>
</p:properties>
</file>

<file path=customXml/itemProps1.xml><?xml version="1.0" encoding="utf-8"?>
<ds:datastoreItem xmlns:ds="http://schemas.openxmlformats.org/officeDocument/2006/customXml" ds:itemID="{253A89DE-391E-430A-A15A-26AAB1435B88}"/>
</file>

<file path=customXml/itemProps2.xml><?xml version="1.0" encoding="utf-8"?>
<ds:datastoreItem xmlns:ds="http://schemas.openxmlformats.org/officeDocument/2006/customXml" ds:itemID="{0BA61857-D8C7-49B4-99A0-3160338D4AE2}">
  <ds:schemaRefs>
    <ds:schemaRef ds:uri="http://schemas.microsoft.com/sharepoint/events"/>
  </ds:schemaRefs>
</ds:datastoreItem>
</file>

<file path=customXml/itemProps3.xml><?xml version="1.0" encoding="utf-8"?>
<ds:datastoreItem xmlns:ds="http://schemas.openxmlformats.org/officeDocument/2006/customXml" ds:itemID="{9A0D1663-CAA4-40B9-8678-EF9F7E4563F4}">
  <ds:schemaRefs>
    <ds:schemaRef ds:uri="http://schemas.microsoft.com/sharepoint/v3/contenttype/forms"/>
  </ds:schemaRefs>
</ds:datastoreItem>
</file>

<file path=customXml/itemProps4.xml><?xml version="1.0" encoding="utf-8"?>
<ds:datastoreItem xmlns:ds="http://schemas.openxmlformats.org/officeDocument/2006/customXml" ds:itemID="{045774B9-4BF0-42D5-B439-0CEAA8C5FD31}">
  <ds:schemaRefs>
    <ds:schemaRef ds:uri="http://schemas.microsoft.com/office/2006/metadata/properties"/>
    <ds:schemaRef ds:uri="http://schemas.microsoft.com/office/infopath/2007/PartnerControls"/>
    <ds:schemaRef ds:uri="f9ded8a6-640d-4e2b-81aa-3f415abfbf2d"/>
    <ds:schemaRef ds:uri="19415a2c-3045-4769-8042-b2d573daa35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54</vt:i4>
      </vt:variant>
    </vt:vector>
  </HeadingPairs>
  <TitlesOfParts>
    <vt:vector size="62" baseType="lpstr">
      <vt:lpstr>Überblick</vt:lpstr>
      <vt:lpstr>Fenster</vt:lpstr>
      <vt:lpstr>Tageslicht</vt:lpstr>
      <vt:lpstr>Ausblick</vt:lpstr>
      <vt:lpstr>Fragenkatalog_Modernisierung</vt:lpstr>
      <vt:lpstr>Constants</vt:lpstr>
      <vt:lpstr>Texte</vt:lpstr>
      <vt:lpstr>Versionierung</vt:lpstr>
      <vt:lpstr>Antwort_simp</vt:lpstr>
      <vt:lpstr>Befriedigend</vt:lpstr>
      <vt:lpstr>FactorRenovation</vt:lpstr>
      <vt:lpstr>Gut</vt:lpstr>
      <vt:lpstr>Tageslicht!Impression_des_titres</vt:lpstr>
      <vt:lpstr>Ja</vt:lpstr>
      <vt:lpstr>JaNein</vt:lpstr>
      <vt:lpstr>ListAussicht</vt:lpstr>
      <vt:lpstr>ListAussichtQ</vt:lpstr>
      <vt:lpstr>ListBeleuchtung</vt:lpstr>
      <vt:lpstr>ListHorizont</vt:lpstr>
      <vt:lpstr>ListOrientierung</vt:lpstr>
      <vt:lpstr>ListProjekttyp</vt:lpstr>
      <vt:lpstr>ListRaumReflex</vt:lpstr>
      <vt:lpstr>ListSoControl</vt:lpstr>
      <vt:lpstr>ListSoSchu</vt:lpstr>
      <vt:lpstr>ListSprache</vt:lpstr>
      <vt:lpstr>MatrixAussicht</vt:lpstr>
      <vt:lpstr>MatrixBeleuchtung</vt:lpstr>
      <vt:lpstr>MatrixHorizont</vt:lpstr>
      <vt:lpstr>MatrixRaumReflex</vt:lpstr>
      <vt:lpstr>MatrixSoControl</vt:lpstr>
      <vt:lpstr>MatrixSoSchu</vt:lpstr>
      <vt:lpstr>MatrixTexteT1</vt:lpstr>
      <vt:lpstr>MatrixTexteT2</vt:lpstr>
      <vt:lpstr>MatrixTexteT3</vt:lpstr>
      <vt:lpstr>MatrixTexteT4</vt:lpstr>
      <vt:lpstr>MatrixTexteT5</vt:lpstr>
      <vt:lpstr>MatrixWindow</vt:lpstr>
      <vt:lpstr>MaxUFläche</vt:lpstr>
      <vt:lpstr>Mindesterfüllung</vt:lpstr>
      <vt:lpstr>MxValidationTexts</vt:lpstr>
      <vt:lpstr>Nein</vt:lpstr>
      <vt:lpstr>NewConstruction</vt:lpstr>
      <vt:lpstr>Password</vt:lpstr>
      <vt:lpstr>Projektbez</vt:lpstr>
      <vt:lpstr>Renovation</vt:lpstr>
      <vt:lpstr>SheetDaylight</vt:lpstr>
      <vt:lpstr>SheetOverview</vt:lpstr>
      <vt:lpstr>SheetQuestionaire</vt:lpstr>
      <vt:lpstr>SheetViews</vt:lpstr>
      <vt:lpstr>SheetWindow</vt:lpstr>
      <vt:lpstr>Sprachwahl</vt:lpstr>
      <vt:lpstr>SummeRaumFlaeche</vt:lpstr>
      <vt:lpstr>test01</vt:lpstr>
      <vt:lpstr>Typ</vt:lpstr>
      <vt:lpstr>Version</vt:lpstr>
      <vt:lpstr>VersionNr</vt:lpstr>
      <vt:lpstr>Ausblick!Zone_d_impression</vt:lpstr>
      <vt:lpstr>Fenster!Zone_d_impression</vt:lpstr>
      <vt:lpstr>Fragenkatalog_Modernisierung!Zone_d_impression</vt:lpstr>
      <vt:lpstr>Tageslicht!Zone_d_impression</vt:lpstr>
      <vt:lpstr>Überblick!Zone_d_impression</vt:lpstr>
      <vt:lpstr>Zone_d_impression</vt:lpstr>
    </vt:vector>
  </TitlesOfParts>
  <Company>eTeam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Gasser</dc:creator>
  <cp:lastModifiedBy>Michel Wyss</cp:lastModifiedBy>
  <cp:lastPrinted>2019-12-31T21:25:02Z</cp:lastPrinted>
  <dcterms:created xsi:type="dcterms:W3CDTF">1999-01-20T17:37:13Z</dcterms:created>
  <dcterms:modified xsi:type="dcterms:W3CDTF">2023-01-17T15:18:00Z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Order">
    <vt:r8>7500800</vt:r8>
  </property>
  <property fmtid="{D5CDD505-2E9C-101B-9397-08002B2CF9AE}" pid="4" name="_dlc_DocIdItemGuid">
    <vt:lpwstr>f79bea6d-716f-5096-97f5-cb345f8a8f99</vt:lpwstr>
  </property>
  <property fmtid="{D5CDD505-2E9C-101B-9397-08002B2CF9AE}" pid="5" name="MediaServiceImageTags">
    <vt:lpwstr/>
  </property>
</Properties>
</file>