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metadata.xml" ContentType="application/vnd.openxmlformats-officedocument.spreadsheetml.sheetMetadata+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DieseArbeitsmappe"/>
  <mc:AlternateContent xmlns:mc="http://schemas.openxmlformats.org/markup-compatibility/2006">
    <mc:Choice Requires="x15">
      <x15ac:absPath xmlns:x15ac="http://schemas.microsoft.com/office/spreadsheetml/2010/11/ac" url="C:\Users\Basil Monkewitz\Nextcloud\ecobau\05_Instrumente\04_Minergie-ECO\03_Hilfsmittel\05_Graue_Energie-THGE\Fragenkatalog_Graue_Energie-THGE\"/>
    </mc:Choice>
  </mc:AlternateContent>
  <xr:revisionPtr revIDLastSave="0" documentId="13_ncr:1_{297024C6-E8C6-4AAA-ADA2-07ED2032DF05}" xr6:coauthVersionLast="47" xr6:coauthVersionMax="47" xr10:uidLastSave="{00000000-0000-0000-0000-000000000000}"/>
  <bookViews>
    <workbookView xWindow="634" yWindow="489" windowWidth="32143" windowHeight="17117" tabRatio="703" xr2:uid="{00000000-000D-0000-FFFF-FFFF00000000}"/>
  </bookViews>
  <sheets>
    <sheet name="FR Questionnaire rénovation" sheetId="28" r:id="rId1"/>
    <sheet name="Konstanten" sheetId="27" state="hidden" r:id="rId2"/>
    <sheet name="Texte" sheetId="31" state="hidden" r:id="rId3"/>
    <sheet name="Bauteile" sheetId="34" state="hidden" r:id="rId4"/>
    <sheet name="Versionierung" sheetId="35" state="hidden" r:id="rId5"/>
  </sheets>
  <definedNames>
    <definedName name="_xlnm._FilterDatabase" localSheetId="3" hidden="1">Bauteile!$H$8:$U$151</definedName>
    <definedName name="Antwort_simp">'FR Questionnaire rénovation'!$A$21</definedName>
    <definedName name="AusmAushub">#REF!</definedName>
    <definedName name="AusmDecke">#REF!</definedName>
    <definedName name="AusmIW">#REF!</definedName>
    <definedName name="AusmSonde">#REF!</definedName>
    <definedName name="AusmTech">#REF!</definedName>
    <definedName name="BauteileNew">Bauteile!$B$9:$B$151</definedName>
    <definedName name="BauteileRen">Bauteile!$B$157:$B$288</definedName>
    <definedName name="Befriedigend">Konstanten!$C$157</definedName>
    <definedName name="BKPshort">Konstanten!$B$136:$K$146</definedName>
    <definedName name="BodenUnbeh">#REF!</definedName>
    <definedName name="Cert">#REF!</definedName>
    <definedName name="CmpltElements">Konstanten!$M$147</definedName>
    <definedName name="CmpltTech">Konstanten!$E$175</definedName>
    <definedName name="CmpltTextElements">Konstanten!$N$147</definedName>
    <definedName name="CmpltTextTech">Konstanten!$F$175</definedName>
    <definedName name="_xlnm.Print_Area" localSheetId="0">'FR Questionnaire rénovation'!$A$1:$E$27</definedName>
    <definedName name="_xlnm.Print_Area" localSheetId="4">Versionierung!$A$1:$D$29</definedName>
    <definedName name="EBF">#REF!</definedName>
    <definedName name="ECO">Konstanten!$B$21</definedName>
    <definedName name="EcoGW1_M">#REF!</definedName>
    <definedName name="EcoGW1_N">#REF!</definedName>
    <definedName name="EcoGW2_M">#REF!</definedName>
    <definedName name="EcoGW2_N">#REF!</definedName>
    <definedName name="EcoGWTH1_M">#REF!</definedName>
    <definedName name="EcoGWTH1_N">#REF!</definedName>
    <definedName name="EcoGWTH2_M">#REF!</definedName>
    <definedName name="EcoGWTH2_N">#REF!</definedName>
    <definedName name="EffiPfad">Konstanten!$B$23</definedName>
    <definedName name="EffiPfadGWpe">#REF!</definedName>
    <definedName name="EffiPfadGWth">#REF!</definedName>
    <definedName name="ElNeu">#REF!</definedName>
    <definedName name="EnStandard">#REF!</definedName>
    <definedName name="ErdSonde">#REF!</definedName>
    <definedName name="ErrText">Texte!$B$141</definedName>
    <definedName name="FaktorMEP">Konstanten!$C$99</definedName>
    <definedName name="FaktorMEP_WE">Konstanten!$C$100</definedName>
    <definedName name="FaktorPE_TH_ECO_M">Konstanten!$C$103</definedName>
    <definedName name="FaktorPE_TH_ECO_N">Konstanten!$C$102</definedName>
    <definedName name="FaktorPE_TH_SNBS">Konstanten!$C$101</definedName>
    <definedName name="FaktorSondenME">Konstanten!$C$104</definedName>
    <definedName name="Fehler">Konstanten!$B$12</definedName>
    <definedName name="GebKat">#REF!</definedName>
    <definedName name="GF">#REF!</definedName>
    <definedName name="GF_UG">#REF!</definedName>
    <definedName name="GT_PE_M">#REF!</definedName>
    <definedName name="GT_TH_M">#REF!</definedName>
    <definedName name="Gut">Konstanten!$C$156</definedName>
    <definedName name="GWPE1unbeh">Konstanten!$C$65</definedName>
    <definedName name="GWPE2unbeh">Konstanten!$C$66</definedName>
    <definedName name="GWPEerdsonde1">Konstanten!$C$57</definedName>
    <definedName name="GWPEerdsonde2">Konstanten!$C$58</definedName>
    <definedName name="GWPEpv">Konstanten!$C$55</definedName>
    <definedName name="GWPEthermie">Konstanten!$C$56</definedName>
    <definedName name="GWTH1unbeh">Konstanten!$C$67</definedName>
    <definedName name="GWTH2unbeh">Konstanten!$C$68</definedName>
    <definedName name="GWTHerdsonde1">Konstanten!$C$61</definedName>
    <definedName name="GWTHerdsonde2">Konstanten!$C$62</definedName>
    <definedName name="GWTHpv">Konstanten!$C$59</definedName>
    <definedName name="GWTHthermie">Konstanten!$C$60</definedName>
    <definedName name="IWtyp">#REF!</definedName>
    <definedName name="Ja">Konstanten!$B$9</definedName>
    <definedName name="JaNein">Konstanten!$B$9:$B$10</definedName>
    <definedName name="LCAdata_New">Bauteile!$H$9:$P$151</definedName>
    <definedName name="LCAdata_Ren">Bauteile!$H$157:$P$288</definedName>
    <definedName name="ListBauteileNew">Bauteile!$B$9:$T$151</definedName>
    <definedName name="ListBauteileRen">Bauteile!$B$157:$T$288</definedName>
    <definedName name="ListBKP">Konstanten!$B$136:$B$146</definedName>
    <definedName name="ListCert">Konstanten!$B$21:$B$24</definedName>
    <definedName name="ListEcoKat">Konstanten!$B$28:$B$38</definedName>
    <definedName name="ListEffiPfadKat">Konstanten!$B$119:$B$124</definedName>
    <definedName name="ListEnStandard">Konstanten!$B$18:$B$19</definedName>
    <definedName name="ListGebaeudekat">Texte!$B$113:$B$124</definedName>
    <definedName name="ListIWtyp">Konstanten!$B$149:$B$151</definedName>
    <definedName name="ListNewElem">#REF!</definedName>
    <definedName name="ListProjekttyp">Konstanten!$B$15:$B$16</definedName>
    <definedName name="ListSNBSkat">Konstanten!$B$109:$B$111</definedName>
    <definedName name="ListSprache">Texte!$C$4:$F$4</definedName>
    <definedName name="ListWindow">OFFSET(#REF!,,,COUNTIF(#REF!,"&gt;"""),)</definedName>
    <definedName name="MatrixBeleuchtung">Konstanten!$B$28:$E$57</definedName>
    <definedName name="MatrixTexteT1">Texte!$A$5:$B$40</definedName>
    <definedName name="MatrixTexteT2">Texte!$A$44:$B$84</definedName>
    <definedName name="MatrixTexteT4">Texte!$A$88:$B$109</definedName>
    <definedName name="MatrixWindow">#REF!</definedName>
    <definedName name="ME">Konstanten!$B$19</definedName>
    <definedName name="MEP">Konstanten!$B$18</definedName>
    <definedName name="MEP_New">Bauteile!$Q$9:$Q$151</definedName>
    <definedName name="MEP_Ren">Bauteile!$Q$157:$Q$288</definedName>
    <definedName name="MxBauteilgruppe">Konstanten!$B$164:$C$174</definedName>
    <definedName name="MxCert">Konstanten!$B$21:$C$24</definedName>
    <definedName name="MxEcoGWPE_M">Konstanten!$B$72:$R$82</definedName>
    <definedName name="MxEcoGWPE_N">Konstanten!$B$28:$D$38</definedName>
    <definedName name="MxEcoGWTH_M">Konstanten!$B$86:$R$96</definedName>
    <definedName name="MxEcoGWTH_N">Konstanten!$B$42:$D$52</definedName>
    <definedName name="MxEffiPfad_GWPE">Konstanten!$B$119:$D$124</definedName>
    <definedName name="MxEffiPfad_GWTH">Konstanten!$B$127:$D$132</definedName>
    <definedName name="MxIWausmass">Konstanten!$B$149:$C$151</definedName>
    <definedName name="N_BKP_B">Bauteile!$B$9:$B$17</definedName>
    <definedName name="N_BKP_C1">Bauteile!$B$18:$B$22</definedName>
    <definedName name="N_BKP_C211">Bauteile!$B$23:$B$27</definedName>
    <definedName name="N_BKP_C212">Bauteile!$B$28:$B$51</definedName>
    <definedName name="N_BKP_C22">Bauteile!$B$52:$B$62</definedName>
    <definedName name="N_BKP_C41">Bauteile!$B$63:$B$83</definedName>
    <definedName name="N_BKP_C43">Bauteile!$B$84</definedName>
    <definedName name="N_BKP_C44">Bauteile!$B$85:$B$101</definedName>
    <definedName name="N_BKP_D">Bauteile!$B$102:$B$141</definedName>
    <definedName name="N_BKP_E3">Bauteile!$B$142:$B$147</definedName>
    <definedName name="N_BKP_G">Bauteile!$B$148:$B$151</definedName>
    <definedName name="Nein">Konstanten!$B$10</definedName>
    <definedName name="NewConstruction">Konstanten!$B$15</definedName>
    <definedName name="NoStandard">Konstanten!$B$24</definedName>
    <definedName name="OK">Konstanten!$B$13</definedName>
    <definedName name="Password">Konstanten!$B$7</definedName>
    <definedName name="Projektbez">#REF!</definedName>
    <definedName name="PVflaeche">#REF!</definedName>
    <definedName name="QuestComplete">'FR Questionnaire rénovation'!$D$19</definedName>
    <definedName name="R_BKP_B">Bauteile!$B$157:$B$163</definedName>
    <definedName name="R_BKP_C1">Bauteile!$B$164:$B$166</definedName>
    <definedName name="R_BKP_C211">Bauteile!$B$167:$B$168</definedName>
    <definedName name="R_BKP_C212">Bauteile!$B$169:$B$187</definedName>
    <definedName name="R_BKP_C22">Bauteile!$B$188:$B$198</definedName>
    <definedName name="R_BKP_C41">Bauteile!$B$199:$B$224</definedName>
    <definedName name="R_BKP_C43">Bauteile!$B$225</definedName>
    <definedName name="R_BKP_C44">Bauteile!$B$226:$B$238</definedName>
    <definedName name="R_BKP_D">Bauteile!$B$239:$B$278</definedName>
    <definedName name="R_BKP_E3">Bauteile!$B$279:$B$284</definedName>
    <definedName name="R_BKP_G">Bauteile!$B$285:$B$288</definedName>
    <definedName name="Raumhoehe">#REF!</definedName>
    <definedName name="Renovation">Konstanten!$B$16</definedName>
    <definedName name="ResQuest">'FR Questionnaire rénovation'!$E$19</definedName>
    <definedName name="SanNeu">#REF!</definedName>
    <definedName name="SheetBuildgData">Texte!$B$382</definedName>
    <definedName name="SheetOverview">Texte!$B$381</definedName>
    <definedName name="SheetQuestionaire">Texte!$B$383</definedName>
    <definedName name="SNBS">Konstanten!$B$22</definedName>
    <definedName name="SNBS_GWPE">Konstanten!$C$109:$H$111</definedName>
    <definedName name="SNBS_GWTH">Konstanten!$C$114:$H$116</definedName>
    <definedName name="SNBS_Note">Texte!$B$143</definedName>
    <definedName name="SNBSnoten">Konstanten!$C$108:$H$108</definedName>
    <definedName name="Sprachwahl">Konstanten!$B$5</definedName>
    <definedName name="StockwerkeUH">#REF!</definedName>
    <definedName name="StockwerkeUT">#REF!</definedName>
    <definedName name="SumPE">#REF!</definedName>
    <definedName name="SumTHGE">#REF!</definedName>
    <definedName name="TableNames">Texte!$B$381:$B$383</definedName>
    <definedName name="ThermieFlaeche">#REF!</definedName>
    <definedName name="Typ">#REF!</definedName>
    <definedName name="VentNeu">#REF!</definedName>
    <definedName name="Version">Konstanten!$B$160</definedName>
    <definedName name="WAneu">#REF!</definedName>
    <definedName name="WEneu">#REF!</definedName>
    <definedName name="WVne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8" i="31" l="1"/>
  <c r="C108" i="31"/>
  <c r="D108" i="31"/>
  <c r="B163" i="31"/>
  <c r="C166" i="27" s="1"/>
  <c r="B164" i="31"/>
  <c r="C167" i="27" s="1"/>
  <c r="B165" i="31"/>
  <c r="C168" i="27" s="1"/>
  <c r="B166" i="31"/>
  <c r="C169" i="27" s="1"/>
  <c r="B167" i="31"/>
  <c r="C170" i="27" s="1"/>
  <c r="B168" i="31"/>
  <c r="C171" i="27" s="1"/>
  <c r="B169" i="31"/>
  <c r="C172" i="27" s="1"/>
  <c r="B170" i="31"/>
  <c r="C173" i="27" s="1"/>
  <c r="B171" i="31"/>
  <c r="C174" i="27" s="1"/>
  <c r="B173" i="31"/>
  <c r="B174" i="31"/>
  <c r="B175" i="31"/>
  <c r="B176" i="31"/>
  <c r="B178" i="31"/>
  <c r="B179" i="31"/>
  <c r="B180" i="31"/>
  <c r="B181" i="31"/>
  <c r="C61" i="27"/>
  <c r="F362" i="31"/>
  <c r="E362" i="31"/>
  <c r="D362" i="31"/>
  <c r="C362" i="31"/>
  <c r="F184" i="31"/>
  <c r="E184" i="31"/>
  <c r="D184" i="31"/>
  <c r="C184" i="31"/>
  <c r="W167" i="34"/>
  <c r="W168" i="34"/>
  <c r="W169" i="34"/>
  <c r="W170" i="34"/>
  <c r="W171" i="34"/>
  <c r="W172" i="34"/>
  <c r="W173" i="34"/>
  <c r="W174" i="34"/>
  <c r="W175" i="34"/>
  <c r="W176" i="34"/>
  <c r="W177" i="34"/>
  <c r="W178" i="34"/>
  <c r="W179" i="34"/>
  <c r="W180" i="34"/>
  <c r="W181" i="34"/>
  <c r="W182" i="34"/>
  <c r="W183" i="34"/>
  <c r="W184" i="34"/>
  <c r="W185" i="34"/>
  <c r="W186" i="34"/>
  <c r="W187" i="34"/>
  <c r="W188" i="34"/>
  <c r="W189" i="34"/>
  <c r="W190" i="34"/>
  <c r="W191" i="34"/>
  <c r="W192" i="34"/>
  <c r="W193" i="34"/>
  <c r="W194" i="34"/>
  <c r="W195" i="34"/>
  <c r="W196" i="34"/>
  <c r="W197" i="34"/>
  <c r="W198" i="34"/>
  <c r="W199" i="34"/>
  <c r="W200" i="34"/>
  <c r="W201" i="34"/>
  <c r="W202" i="34"/>
  <c r="W203" i="34"/>
  <c r="W204" i="34"/>
  <c r="W205" i="34"/>
  <c r="W206" i="34"/>
  <c r="W207" i="34"/>
  <c r="W208" i="34"/>
  <c r="W209" i="34"/>
  <c r="W210" i="34"/>
  <c r="W211" i="34"/>
  <c r="W212" i="34"/>
  <c r="W213" i="34"/>
  <c r="W214" i="34"/>
  <c r="W215" i="34"/>
  <c r="W216" i="34"/>
  <c r="W217" i="34"/>
  <c r="W218" i="34"/>
  <c r="W219" i="34"/>
  <c r="W220" i="34"/>
  <c r="W221" i="34"/>
  <c r="W222" i="34"/>
  <c r="W223" i="34"/>
  <c r="W224" i="34"/>
  <c r="W225" i="34"/>
  <c r="W226" i="34"/>
  <c r="W227" i="34"/>
  <c r="W228" i="34"/>
  <c r="W229" i="34"/>
  <c r="W230" i="34"/>
  <c r="W231" i="34"/>
  <c r="W232" i="34"/>
  <c r="W233" i="34"/>
  <c r="W234" i="34"/>
  <c r="W235" i="34"/>
  <c r="W236" i="34"/>
  <c r="W237" i="34"/>
  <c r="W238" i="34"/>
  <c r="W239" i="34"/>
  <c r="W240" i="34"/>
  <c r="W241" i="34"/>
  <c r="W242" i="34"/>
  <c r="W243" i="34"/>
  <c r="W244" i="34"/>
  <c r="W245" i="34"/>
  <c r="W246" i="34"/>
  <c r="W247" i="34"/>
  <c r="W248" i="34"/>
  <c r="W249" i="34"/>
  <c r="W250" i="34"/>
  <c r="W251" i="34"/>
  <c r="W252" i="34"/>
  <c r="W253" i="34"/>
  <c r="W254" i="34"/>
  <c r="W255" i="34"/>
  <c r="W256" i="34"/>
  <c r="W257" i="34"/>
  <c r="W258" i="34"/>
  <c r="W259" i="34"/>
  <c r="W260" i="34"/>
  <c r="W261" i="34"/>
  <c r="W262" i="34"/>
  <c r="W263" i="34"/>
  <c r="W264" i="34"/>
  <c r="W265" i="34"/>
  <c r="W266" i="34"/>
  <c r="W267" i="34"/>
  <c r="W268" i="34"/>
  <c r="W269" i="34"/>
  <c r="W270" i="34"/>
  <c r="W271" i="34"/>
  <c r="W272" i="34"/>
  <c r="W273" i="34"/>
  <c r="W274" i="34"/>
  <c r="W275" i="34"/>
  <c r="W276" i="34"/>
  <c r="W277" i="34"/>
  <c r="W278" i="34"/>
  <c r="W279" i="34"/>
  <c r="W280" i="34"/>
  <c r="W281" i="34"/>
  <c r="W282" i="34"/>
  <c r="W283" i="34"/>
  <c r="W284" i="34"/>
  <c r="W285" i="34"/>
  <c r="W286" i="34"/>
  <c r="W287" i="34"/>
  <c r="W288" i="34"/>
  <c r="W164" i="34"/>
  <c r="W165" i="34"/>
  <c r="W166" i="34"/>
  <c r="W158" i="34"/>
  <c r="W159" i="34"/>
  <c r="W160" i="34"/>
  <c r="W161" i="34"/>
  <c r="W162" i="34"/>
  <c r="W163" i="34"/>
  <c r="W157" i="34"/>
  <c r="Y158" i="34"/>
  <c r="Z158" i="34" s="1"/>
  <c r="Y159" i="34"/>
  <c r="Y160" i="34"/>
  <c r="Z160" i="34" s="1"/>
  <c r="Y161" i="34"/>
  <c r="Y162" i="34"/>
  <c r="Y163" i="34"/>
  <c r="Z163" i="34" s="1"/>
  <c r="Y164" i="34"/>
  <c r="Z164" i="34" s="1"/>
  <c r="Y165" i="34"/>
  <c r="Z165" i="34" s="1"/>
  <c r="Y166" i="34"/>
  <c r="Z166" i="34" s="1"/>
  <c r="Y167" i="34"/>
  <c r="Z167" i="34" s="1"/>
  <c r="Y168" i="34"/>
  <c r="Z168" i="34" s="1"/>
  <c r="Y169" i="34"/>
  <c r="Z169" i="34" s="1"/>
  <c r="Y170" i="34"/>
  <c r="Z170" i="34" s="1"/>
  <c r="Y171" i="34"/>
  <c r="Y172" i="34"/>
  <c r="Z172" i="34" s="1"/>
  <c r="Y173" i="34"/>
  <c r="Z173" i="34" s="1"/>
  <c r="Y174" i="34"/>
  <c r="Z174" i="34" s="1"/>
  <c r="Y175" i="34"/>
  <c r="Z175" i="34" s="1"/>
  <c r="Y176" i="34"/>
  <c r="Z176" i="34" s="1"/>
  <c r="Y177" i="34"/>
  <c r="Z177" i="34" s="1"/>
  <c r="Y178" i="34"/>
  <c r="Z178" i="34" s="1"/>
  <c r="Y179" i="34"/>
  <c r="Z179" i="34" s="1"/>
  <c r="Y180" i="34"/>
  <c r="Z180" i="34" s="1"/>
  <c r="Y181" i="34"/>
  <c r="Z181" i="34" s="1"/>
  <c r="Y182" i="34"/>
  <c r="Z182" i="34" s="1"/>
  <c r="Y183" i="34"/>
  <c r="Z183" i="34" s="1"/>
  <c r="Y184" i="34"/>
  <c r="Z184" i="34" s="1"/>
  <c r="Y185" i="34"/>
  <c r="Z185" i="34" s="1"/>
  <c r="Y186" i="34"/>
  <c r="Z186" i="34" s="1"/>
  <c r="Y187" i="34"/>
  <c r="Z187" i="34" s="1"/>
  <c r="Y188" i="34"/>
  <c r="Z188" i="34" s="1"/>
  <c r="Y189" i="34"/>
  <c r="Z189" i="34" s="1"/>
  <c r="Y190" i="34"/>
  <c r="Z190" i="34" s="1"/>
  <c r="Y191" i="34"/>
  <c r="Z191" i="34" s="1"/>
  <c r="Y192" i="34"/>
  <c r="Z192" i="34" s="1"/>
  <c r="Y193" i="34"/>
  <c r="Z193" i="34" s="1"/>
  <c r="Y194" i="34"/>
  <c r="Z194" i="34" s="1"/>
  <c r="Y195" i="34"/>
  <c r="Y196" i="34"/>
  <c r="Z196" i="34" s="1"/>
  <c r="Y197" i="34"/>
  <c r="Z197" i="34" s="1"/>
  <c r="Y198" i="34"/>
  <c r="Z198" i="34" s="1"/>
  <c r="Y199" i="34"/>
  <c r="Z199" i="34" s="1"/>
  <c r="Y200" i="34"/>
  <c r="Z200" i="34" s="1"/>
  <c r="Y201" i="34"/>
  <c r="Z201" i="34" s="1"/>
  <c r="Y202" i="34"/>
  <c r="Z202" i="34" s="1"/>
  <c r="Y203" i="34"/>
  <c r="Y204" i="34"/>
  <c r="Z204" i="34" s="1"/>
  <c r="Y205" i="34"/>
  <c r="Z205" i="34" s="1"/>
  <c r="Y206" i="34"/>
  <c r="Z206" i="34" s="1"/>
  <c r="Y207" i="34"/>
  <c r="Z207" i="34" s="1"/>
  <c r="Y208" i="34"/>
  <c r="Z208" i="34" s="1"/>
  <c r="Y209" i="34"/>
  <c r="Z209" i="34" s="1"/>
  <c r="Y210" i="34"/>
  <c r="Z210" i="34" s="1"/>
  <c r="Y211" i="34"/>
  <c r="Y212" i="34"/>
  <c r="Z212" i="34" s="1"/>
  <c r="Y213" i="34"/>
  <c r="Z213" i="34" s="1"/>
  <c r="Y214" i="34"/>
  <c r="Z214" i="34" s="1"/>
  <c r="Y215" i="34"/>
  <c r="Z215" i="34" s="1"/>
  <c r="Y216" i="34"/>
  <c r="Z216" i="34" s="1"/>
  <c r="Y217" i="34"/>
  <c r="Z217" i="34" s="1"/>
  <c r="Y218" i="34"/>
  <c r="Z218" i="34" s="1"/>
  <c r="Y219" i="34"/>
  <c r="Y220" i="34"/>
  <c r="Z220" i="34" s="1"/>
  <c r="Y221" i="34"/>
  <c r="Z221" i="34" s="1"/>
  <c r="Y222" i="34"/>
  <c r="Z222" i="34" s="1"/>
  <c r="Y223" i="34"/>
  <c r="Z223" i="34" s="1"/>
  <c r="Y224" i="34"/>
  <c r="Z224" i="34" s="1"/>
  <c r="Y225" i="34"/>
  <c r="Z225" i="34" s="1"/>
  <c r="Y226" i="34"/>
  <c r="Z226" i="34" s="1"/>
  <c r="Y227" i="34"/>
  <c r="Y228" i="34"/>
  <c r="Z228" i="34" s="1"/>
  <c r="Y229" i="34"/>
  <c r="Z229" i="34" s="1"/>
  <c r="Y230" i="34"/>
  <c r="Z230" i="34" s="1"/>
  <c r="Y231" i="34"/>
  <c r="Z231" i="34" s="1"/>
  <c r="Y232" i="34"/>
  <c r="Z232" i="34" s="1"/>
  <c r="Y233" i="34"/>
  <c r="Z233" i="34" s="1"/>
  <c r="Y234" i="34"/>
  <c r="Z234" i="34" s="1"/>
  <c r="Y235" i="34"/>
  <c r="Z235" i="34" s="1"/>
  <c r="Y236" i="34"/>
  <c r="Z236" i="34" s="1"/>
  <c r="Y237" i="34"/>
  <c r="Z237" i="34" s="1"/>
  <c r="Y238" i="34"/>
  <c r="Z238" i="34" s="1"/>
  <c r="Y239" i="34"/>
  <c r="Z239" i="34" s="1"/>
  <c r="Y240" i="34"/>
  <c r="Z240" i="34" s="1"/>
  <c r="Y241" i="34"/>
  <c r="Z241" i="34" s="1"/>
  <c r="Y242" i="34"/>
  <c r="Z242" i="34" s="1"/>
  <c r="Y243" i="34"/>
  <c r="Y244" i="34"/>
  <c r="Z244" i="34" s="1"/>
  <c r="Y245" i="34"/>
  <c r="Z245" i="34" s="1"/>
  <c r="Y246" i="34"/>
  <c r="Z246" i="34" s="1"/>
  <c r="Y247" i="34"/>
  <c r="Z247" i="34" s="1"/>
  <c r="Y248" i="34"/>
  <c r="Z248" i="34" s="1"/>
  <c r="Y249" i="34"/>
  <c r="Z249" i="34" s="1"/>
  <c r="Y250" i="34"/>
  <c r="Z250" i="34" s="1"/>
  <c r="Y251" i="34"/>
  <c r="Y252" i="34"/>
  <c r="Z252" i="34" s="1"/>
  <c r="Y253" i="34"/>
  <c r="Z253" i="34" s="1"/>
  <c r="Y254" i="34"/>
  <c r="Z254" i="34" s="1"/>
  <c r="Y255" i="34"/>
  <c r="Z255" i="34" s="1"/>
  <c r="Y256" i="34"/>
  <c r="Z256" i="34" s="1"/>
  <c r="Y257" i="34"/>
  <c r="Z257" i="34" s="1"/>
  <c r="Y258" i="34"/>
  <c r="Z258" i="34" s="1"/>
  <c r="Y259" i="34"/>
  <c r="Y260" i="34"/>
  <c r="Z260" i="34" s="1"/>
  <c r="Y261" i="34"/>
  <c r="Z261" i="34" s="1"/>
  <c r="Y262" i="34"/>
  <c r="Z262" i="34" s="1"/>
  <c r="Y263" i="34"/>
  <c r="Z263" i="34" s="1"/>
  <c r="Y264" i="34"/>
  <c r="Z264" i="34" s="1"/>
  <c r="Y265" i="34"/>
  <c r="Z265" i="34" s="1"/>
  <c r="Y266" i="34"/>
  <c r="Z266" i="34" s="1"/>
  <c r="Y267" i="34"/>
  <c r="Y268" i="34"/>
  <c r="Z268" i="34" s="1"/>
  <c r="Y269" i="34"/>
  <c r="Z269" i="34" s="1"/>
  <c r="Y270" i="34"/>
  <c r="Z270" i="34" s="1"/>
  <c r="Y271" i="34"/>
  <c r="Z271" i="34" s="1"/>
  <c r="Y272" i="34"/>
  <c r="Z272" i="34" s="1"/>
  <c r="Y273" i="34"/>
  <c r="Z273" i="34" s="1"/>
  <c r="Y274" i="34"/>
  <c r="Z274" i="34" s="1"/>
  <c r="Y275" i="34"/>
  <c r="Y276" i="34"/>
  <c r="Z276" i="34" s="1"/>
  <c r="Y277" i="34"/>
  <c r="Z277" i="34" s="1"/>
  <c r="Y278" i="34"/>
  <c r="Z278" i="34" s="1"/>
  <c r="Y279" i="34"/>
  <c r="Z279" i="34" s="1"/>
  <c r="Y280" i="34"/>
  <c r="Z280" i="34" s="1"/>
  <c r="Y281" i="34"/>
  <c r="Z281" i="34" s="1"/>
  <c r="Y282" i="34"/>
  <c r="Z282" i="34" s="1"/>
  <c r="Y283" i="34"/>
  <c r="Y284" i="34"/>
  <c r="Z284" i="34" s="1"/>
  <c r="Y285" i="34"/>
  <c r="Z285" i="34" s="1"/>
  <c r="Y286" i="34"/>
  <c r="Z286" i="34" s="1"/>
  <c r="Y287" i="34"/>
  <c r="Z287" i="34" s="1"/>
  <c r="Y288" i="34"/>
  <c r="Z288" i="34" s="1"/>
  <c r="Y157" i="34"/>
  <c r="Z157" i="34" s="1"/>
  <c r="Y9" i="34"/>
  <c r="Z9" i="34"/>
  <c r="Y10" i="34"/>
  <c r="Z10" i="34"/>
  <c r="Y11" i="34"/>
  <c r="Z11" i="34"/>
  <c r="Y12" i="34"/>
  <c r="Z12" i="34"/>
  <c r="Y13" i="34"/>
  <c r="Z13" i="34"/>
  <c r="Y14" i="34"/>
  <c r="Z14" i="34"/>
  <c r="Y15" i="34"/>
  <c r="Z15" i="34"/>
  <c r="Y16" i="34"/>
  <c r="Z16" i="34"/>
  <c r="Y17" i="34"/>
  <c r="Z17" i="34"/>
  <c r="Y18" i="34"/>
  <c r="Z18" i="34"/>
  <c r="Y19" i="34"/>
  <c r="Z19" i="34"/>
  <c r="Y20" i="34"/>
  <c r="Z20" i="34"/>
  <c r="Y21" i="34"/>
  <c r="Z21" i="34"/>
  <c r="Y22" i="34"/>
  <c r="Z22" i="34"/>
  <c r="Y23" i="34"/>
  <c r="Z23" i="34"/>
  <c r="Y24" i="34"/>
  <c r="Z24" i="34"/>
  <c r="Y25" i="34"/>
  <c r="Z25" i="34"/>
  <c r="Y26" i="34"/>
  <c r="Z26" i="34"/>
  <c r="Y27" i="34"/>
  <c r="Z27" i="34"/>
  <c r="Y28" i="34"/>
  <c r="Z28" i="34"/>
  <c r="Y29" i="34"/>
  <c r="Z29" i="34"/>
  <c r="Y30" i="34"/>
  <c r="Z30" i="34"/>
  <c r="Y31" i="34"/>
  <c r="Z31" i="34"/>
  <c r="Y32" i="34"/>
  <c r="Z32" i="34"/>
  <c r="Y33" i="34"/>
  <c r="Z33" i="34"/>
  <c r="Y34" i="34"/>
  <c r="Z34" i="34"/>
  <c r="Y35" i="34"/>
  <c r="Z35" i="34"/>
  <c r="Y36" i="34"/>
  <c r="Z36" i="34"/>
  <c r="Y37" i="34"/>
  <c r="Z37" i="34"/>
  <c r="Y38" i="34"/>
  <c r="Z38" i="34"/>
  <c r="Y39" i="34"/>
  <c r="Z39" i="34"/>
  <c r="Y40" i="34"/>
  <c r="Z40" i="34"/>
  <c r="Y41" i="34"/>
  <c r="Z41" i="34"/>
  <c r="Y42" i="34"/>
  <c r="Z42" i="34"/>
  <c r="Y43" i="34"/>
  <c r="Z43" i="34"/>
  <c r="Y44" i="34"/>
  <c r="Z44" i="34"/>
  <c r="Y45" i="34"/>
  <c r="Z45" i="34"/>
  <c r="Y46" i="34"/>
  <c r="Z46" i="34"/>
  <c r="Y47" i="34"/>
  <c r="Z47" i="34"/>
  <c r="Y48" i="34"/>
  <c r="Z48" i="34"/>
  <c r="Y49" i="34"/>
  <c r="Z49" i="34"/>
  <c r="Y50" i="34"/>
  <c r="Z50" i="34"/>
  <c r="Y51" i="34"/>
  <c r="Z51" i="34"/>
  <c r="Y52" i="34"/>
  <c r="Z52" i="34"/>
  <c r="Y53" i="34"/>
  <c r="Z53" i="34"/>
  <c r="Y54" i="34"/>
  <c r="Z54" i="34"/>
  <c r="Y55" i="34"/>
  <c r="Z55" i="34"/>
  <c r="Y56" i="34"/>
  <c r="Z56" i="34"/>
  <c r="Y57" i="34"/>
  <c r="Z57" i="34"/>
  <c r="Y58" i="34"/>
  <c r="Z58" i="34"/>
  <c r="Y59" i="34"/>
  <c r="Z59" i="34"/>
  <c r="Y60" i="34"/>
  <c r="Z60" i="34"/>
  <c r="Y61" i="34"/>
  <c r="Z61" i="34"/>
  <c r="Y62" i="34"/>
  <c r="Z62" i="34"/>
  <c r="Y63" i="34"/>
  <c r="Z63" i="34"/>
  <c r="Y64" i="34"/>
  <c r="Z64" i="34"/>
  <c r="Y65" i="34"/>
  <c r="Z65" i="34"/>
  <c r="Y66" i="34"/>
  <c r="Z66" i="34"/>
  <c r="Y67" i="34"/>
  <c r="Z67" i="34"/>
  <c r="Y68" i="34"/>
  <c r="Z68" i="34"/>
  <c r="Y69" i="34"/>
  <c r="Z69" i="34"/>
  <c r="Y70" i="34"/>
  <c r="Z70" i="34"/>
  <c r="Y71" i="34"/>
  <c r="Z71" i="34"/>
  <c r="Y72" i="34"/>
  <c r="Z72" i="34"/>
  <c r="Y73" i="34"/>
  <c r="Z73" i="34"/>
  <c r="Y74" i="34"/>
  <c r="Z74" i="34"/>
  <c r="Y75" i="34"/>
  <c r="Z75" i="34"/>
  <c r="Y76" i="34"/>
  <c r="Z76" i="34"/>
  <c r="Y77" i="34"/>
  <c r="Z77" i="34"/>
  <c r="Y78" i="34"/>
  <c r="Z78" i="34"/>
  <c r="Y79" i="34"/>
  <c r="Z79" i="34"/>
  <c r="Y80" i="34"/>
  <c r="Z80" i="34"/>
  <c r="Y81" i="34"/>
  <c r="Z81" i="34"/>
  <c r="Y82" i="34"/>
  <c r="Z82" i="34"/>
  <c r="Y83" i="34"/>
  <c r="Z83" i="34"/>
  <c r="Y84" i="34"/>
  <c r="Z84" i="34"/>
  <c r="Y85" i="34"/>
  <c r="Z85" i="34"/>
  <c r="AD85" i="34"/>
  <c r="Y86" i="34"/>
  <c r="Z86" i="34"/>
  <c r="AD86" i="34"/>
  <c r="Y87" i="34"/>
  <c r="Z87" i="34"/>
  <c r="Y88" i="34"/>
  <c r="Z88" i="34"/>
  <c r="Y89" i="34"/>
  <c r="Z89" i="34"/>
  <c r="Y90" i="34"/>
  <c r="Z90" i="34"/>
  <c r="Y91" i="34"/>
  <c r="Z91" i="34"/>
  <c r="Y92" i="34"/>
  <c r="Z92" i="34"/>
  <c r="Y93" i="34"/>
  <c r="Z93" i="34"/>
  <c r="Y94" i="34"/>
  <c r="Z94" i="34"/>
  <c r="Y95" i="34"/>
  <c r="Z95" i="34"/>
  <c r="Y96" i="34"/>
  <c r="Z96" i="34"/>
  <c r="AD96" i="34"/>
  <c r="Y97" i="34"/>
  <c r="Z97" i="34"/>
  <c r="Y98" i="34"/>
  <c r="Z98" i="34"/>
  <c r="Y99" i="34"/>
  <c r="Z99" i="34"/>
  <c r="AD99" i="34"/>
  <c r="Y100" i="34"/>
  <c r="Z100" i="34"/>
  <c r="Y101" i="34"/>
  <c r="Z101" i="34"/>
  <c r="Y102" i="34"/>
  <c r="Z102" i="34"/>
  <c r="Y103" i="34"/>
  <c r="Z103" i="34"/>
  <c r="Y104" i="34"/>
  <c r="Z104" i="34"/>
  <c r="Y105" i="34"/>
  <c r="Z105" i="34"/>
  <c r="Y106" i="34"/>
  <c r="Z106" i="34"/>
  <c r="Y107" i="34"/>
  <c r="Z107" i="34"/>
  <c r="Y108" i="34"/>
  <c r="Z108" i="34"/>
  <c r="Y109" i="34"/>
  <c r="Z109" i="34"/>
  <c r="Y110" i="34"/>
  <c r="Z110" i="34"/>
  <c r="Y111" i="34"/>
  <c r="Z111" i="34"/>
  <c r="Y112" i="34"/>
  <c r="Z112" i="34"/>
  <c r="Y113" i="34"/>
  <c r="Z113" i="34"/>
  <c r="Y114" i="34"/>
  <c r="Z114" i="34"/>
  <c r="Y115" i="34"/>
  <c r="Z115" i="34"/>
  <c r="Y116" i="34"/>
  <c r="Z116" i="34"/>
  <c r="Y117" i="34"/>
  <c r="Z117" i="34"/>
  <c r="Y118" i="34"/>
  <c r="Z118" i="34"/>
  <c r="Y119" i="34"/>
  <c r="Z119" i="34"/>
  <c r="Y120" i="34"/>
  <c r="Z120" i="34"/>
  <c r="Y121" i="34"/>
  <c r="Z121" i="34"/>
  <c r="Y122" i="34"/>
  <c r="Z122" i="34"/>
  <c r="Y123" i="34"/>
  <c r="Z123" i="34"/>
  <c r="Y124" i="34"/>
  <c r="Z124" i="34"/>
  <c r="Y125" i="34"/>
  <c r="Z125" i="34"/>
  <c r="Y126" i="34"/>
  <c r="Z126" i="34"/>
  <c r="Y127" i="34"/>
  <c r="Z127" i="34"/>
  <c r="Y128" i="34"/>
  <c r="Z128" i="34"/>
  <c r="Y129" i="34"/>
  <c r="Z129" i="34"/>
  <c r="Y130" i="34"/>
  <c r="Z130" i="34"/>
  <c r="Y131" i="34"/>
  <c r="Z131" i="34"/>
  <c r="Y132" i="34"/>
  <c r="Z132" i="34"/>
  <c r="Y133" i="34"/>
  <c r="Z133" i="34"/>
  <c r="Y134" i="34"/>
  <c r="Z134" i="34"/>
  <c r="Y135" i="34"/>
  <c r="Z135" i="34"/>
  <c r="Y136" i="34"/>
  <c r="Z136" i="34"/>
  <c r="Y137" i="34"/>
  <c r="Z137" i="34"/>
  <c r="Y138" i="34"/>
  <c r="Z138" i="34"/>
  <c r="Y139" i="34"/>
  <c r="Z139" i="34"/>
  <c r="Y140" i="34"/>
  <c r="Z140" i="34"/>
  <c r="Y141" i="34"/>
  <c r="Z141" i="34"/>
  <c r="Y142" i="34"/>
  <c r="Z142" i="34"/>
  <c r="Y143" i="34"/>
  <c r="Z143" i="34"/>
  <c r="Y144" i="34"/>
  <c r="Z144" i="34"/>
  <c r="Y145" i="34"/>
  <c r="Z145" i="34"/>
  <c r="Y146" i="34"/>
  <c r="Z146" i="34"/>
  <c r="Y147" i="34"/>
  <c r="Z147" i="34"/>
  <c r="Y148" i="34"/>
  <c r="Z148" i="34"/>
  <c r="Y149" i="34"/>
  <c r="Z149" i="34"/>
  <c r="Y150" i="34"/>
  <c r="Z150" i="34"/>
  <c r="Y151" i="34"/>
  <c r="Z151" i="34"/>
  <c r="B186" i="31"/>
  <c r="B187" i="31"/>
  <c r="B188" i="31"/>
  <c r="B189" i="31"/>
  <c r="B190" i="31"/>
  <c r="B191" i="31"/>
  <c r="B192" i="31"/>
  <c r="B193" i="31"/>
  <c r="B194" i="31"/>
  <c r="B195" i="31"/>
  <c r="B196" i="31"/>
  <c r="B197" i="31"/>
  <c r="B198" i="31"/>
  <c r="B199" i="31"/>
  <c r="B200" i="31"/>
  <c r="B201" i="31"/>
  <c r="B202" i="31"/>
  <c r="B203" i="31"/>
  <c r="B204" i="31"/>
  <c r="B205" i="31"/>
  <c r="B206" i="31"/>
  <c r="B207" i="31"/>
  <c r="B208" i="31"/>
  <c r="B209" i="31"/>
  <c r="B210" i="31"/>
  <c r="B211" i="31"/>
  <c r="B212" i="31"/>
  <c r="B213" i="31"/>
  <c r="B214" i="31"/>
  <c r="B215" i="31"/>
  <c r="B216" i="31"/>
  <c r="B217" i="31"/>
  <c r="B218" i="31"/>
  <c r="B219" i="31"/>
  <c r="B220" i="31"/>
  <c r="B221" i="31"/>
  <c r="B222" i="31"/>
  <c r="B223" i="31"/>
  <c r="B224" i="31"/>
  <c r="B225" i="31"/>
  <c r="B226" i="31"/>
  <c r="B227" i="31"/>
  <c r="B228" i="31"/>
  <c r="B229" i="31"/>
  <c r="B230" i="31"/>
  <c r="B231" i="31"/>
  <c r="B232" i="31"/>
  <c r="B233" i="31"/>
  <c r="B234" i="31"/>
  <c r="B235" i="31"/>
  <c r="B236" i="31"/>
  <c r="B237" i="31"/>
  <c r="B238" i="31"/>
  <c r="B239" i="31"/>
  <c r="B240" i="31"/>
  <c r="B241" i="31"/>
  <c r="B242" i="31"/>
  <c r="B243" i="31"/>
  <c r="B244" i="31"/>
  <c r="B245" i="31"/>
  <c r="B246" i="31"/>
  <c r="B247" i="31"/>
  <c r="B248" i="31"/>
  <c r="B249" i="31"/>
  <c r="B250" i="31"/>
  <c r="B251" i="31"/>
  <c r="B252" i="31"/>
  <c r="B253" i="31"/>
  <c r="B254" i="31"/>
  <c r="B255" i="31"/>
  <c r="B256" i="31"/>
  <c r="B257" i="31"/>
  <c r="B258" i="31"/>
  <c r="B259" i="31"/>
  <c r="B260" i="31"/>
  <c r="B261" i="31"/>
  <c r="B262" i="31"/>
  <c r="B263" i="31"/>
  <c r="B264" i="31"/>
  <c r="B265" i="31"/>
  <c r="B279" i="34" s="1"/>
  <c r="B266" i="31"/>
  <c r="B280" i="34" s="1"/>
  <c r="B267" i="31"/>
  <c r="B281" i="34" s="1"/>
  <c r="B268" i="31"/>
  <c r="B282" i="34" s="1"/>
  <c r="B269" i="31"/>
  <c r="B283" i="34" s="1"/>
  <c r="B270" i="31"/>
  <c r="B271" i="31"/>
  <c r="B272" i="31"/>
  <c r="B273" i="31"/>
  <c r="B274" i="31"/>
  <c r="B161" i="34" s="1"/>
  <c r="B275" i="31"/>
  <c r="B162" i="34" s="1"/>
  <c r="B276" i="31"/>
  <c r="B163" i="34" s="1"/>
  <c r="B277" i="31"/>
  <c r="B166" i="34" s="1"/>
  <c r="B278" i="31"/>
  <c r="B165" i="34" s="1"/>
  <c r="B279" i="31"/>
  <c r="B168" i="34" s="1"/>
  <c r="B280" i="31"/>
  <c r="B167" i="34" s="1"/>
  <c r="B281" i="31"/>
  <c r="B282" i="31"/>
  <c r="B283" i="31"/>
  <c r="B284" i="31"/>
  <c r="B36" i="34" s="1"/>
  <c r="B179" i="34" s="1"/>
  <c r="B285" i="31"/>
  <c r="B37" i="34" s="1"/>
  <c r="B180" i="34" s="1"/>
  <c r="B286" i="31"/>
  <c r="B38" i="34" s="1"/>
  <c r="B181" i="34" s="1"/>
  <c r="B287" i="31"/>
  <c r="B288" i="31"/>
  <c r="B31" i="34" s="1"/>
  <c r="B174" i="34" s="1"/>
  <c r="B289" i="31"/>
  <c r="B32" i="34" s="1"/>
  <c r="B175" i="34" s="1"/>
  <c r="B290" i="31"/>
  <c r="B33" i="34" s="1"/>
  <c r="B176" i="34" s="1"/>
  <c r="B291" i="31"/>
  <c r="B34" i="34" s="1"/>
  <c r="B177" i="34" s="1"/>
  <c r="B292" i="31"/>
  <c r="B41" i="34" s="1"/>
  <c r="B293" i="31"/>
  <c r="B42" i="34" s="1"/>
  <c r="B294" i="31"/>
  <c r="B43" i="34" s="1"/>
  <c r="B295" i="31"/>
  <c r="B39" i="34" s="1"/>
  <c r="B296" i="31"/>
  <c r="B40" i="34" s="1"/>
  <c r="B297" i="31"/>
  <c r="B44" i="34" s="1"/>
  <c r="B298" i="31"/>
  <c r="B284" i="34" s="1"/>
  <c r="B299" i="31"/>
  <c r="B300" i="31"/>
  <c r="B301" i="31"/>
  <c r="B302" i="31"/>
  <c r="B303" i="31"/>
  <c r="B304" i="31"/>
  <c r="B198" i="34" s="1"/>
  <c r="B305" i="31"/>
  <c r="B197" i="34" s="1"/>
  <c r="B306" i="31"/>
  <c r="B222" i="34" s="1"/>
  <c r="B307" i="31"/>
  <c r="B224" i="34" s="1"/>
  <c r="B308" i="31"/>
  <c r="B223" i="34" s="1"/>
  <c r="B309" i="31"/>
  <c r="B287" i="34" s="1"/>
  <c r="B310" i="31"/>
  <c r="B288" i="34" s="1"/>
  <c r="B311" i="31"/>
  <c r="B286" i="34" s="1"/>
  <c r="B312" i="31"/>
  <c r="B285" i="34" s="1"/>
  <c r="B313" i="31"/>
  <c r="B225" i="34" s="1"/>
  <c r="B314" i="31"/>
  <c r="B268" i="34" s="1"/>
  <c r="B315" i="31"/>
  <c r="B267" i="34" s="1"/>
  <c r="B316" i="31"/>
  <c r="B275" i="34" s="1"/>
  <c r="B317" i="31"/>
  <c r="B276" i="34" s="1"/>
  <c r="B318" i="31"/>
  <c r="B278" i="34" s="1"/>
  <c r="B319" i="31"/>
  <c r="B277" i="34" s="1"/>
  <c r="B320" i="31"/>
  <c r="B269" i="34" s="1"/>
  <c r="B321" i="31"/>
  <c r="B274" i="34" s="1"/>
  <c r="B322" i="31"/>
  <c r="B266" i="34" s="1"/>
  <c r="B323" i="31"/>
  <c r="B271" i="34" s="1"/>
  <c r="B324" i="31"/>
  <c r="B270" i="34" s="1"/>
  <c r="B325" i="31"/>
  <c r="B273" i="34" s="1"/>
  <c r="B326" i="31"/>
  <c r="B272" i="34" s="1"/>
  <c r="B327" i="31"/>
  <c r="B185" i="31"/>
  <c r="E235" i="34"/>
  <c r="F235" i="34"/>
  <c r="G235" i="34"/>
  <c r="H235" i="34"/>
  <c r="I235" i="34"/>
  <c r="J235" i="34"/>
  <c r="K235" i="34"/>
  <c r="L235" i="34"/>
  <c r="M235" i="34"/>
  <c r="N235" i="34"/>
  <c r="O235" i="34"/>
  <c r="P235" i="34"/>
  <c r="Q235" i="34"/>
  <c r="E236" i="34"/>
  <c r="F236" i="34"/>
  <c r="G236" i="34"/>
  <c r="H236" i="34"/>
  <c r="I236" i="34"/>
  <c r="J236" i="34"/>
  <c r="K236" i="34"/>
  <c r="L236" i="34"/>
  <c r="M236" i="34"/>
  <c r="N236" i="34"/>
  <c r="O236" i="34"/>
  <c r="P236" i="34"/>
  <c r="Q236" i="34"/>
  <c r="E237" i="34"/>
  <c r="F237" i="34"/>
  <c r="G237" i="34"/>
  <c r="H237" i="34"/>
  <c r="I237" i="34"/>
  <c r="J237" i="34"/>
  <c r="K237" i="34"/>
  <c r="L237" i="34"/>
  <c r="M237" i="34"/>
  <c r="N237" i="34"/>
  <c r="O237" i="34"/>
  <c r="P237" i="34"/>
  <c r="Q237" i="34"/>
  <c r="E238" i="34"/>
  <c r="F238" i="34"/>
  <c r="G238" i="34"/>
  <c r="H238" i="34"/>
  <c r="I238" i="34"/>
  <c r="J238" i="34"/>
  <c r="K238" i="34"/>
  <c r="L238" i="34"/>
  <c r="M238" i="34"/>
  <c r="N238" i="34"/>
  <c r="O238" i="34"/>
  <c r="P238" i="34"/>
  <c r="Q238" i="34"/>
  <c r="E231" i="34"/>
  <c r="F231" i="34"/>
  <c r="G231" i="34"/>
  <c r="H231" i="34"/>
  <c r="I231" i="34"/>
  <c r="J231" i="34"/>
  <c r="K231" i="34"/>
  <c r="L231" i="34"/>
  <c r="M231" i="34"/>
  <c r="N231" i="34"/>
  <c r="O231" i="34"/>
  <c r="P231" i="34"/>
  <c r="E232" i="34"/>
  <c r="F232" i="34"/>
  <c r="G232" i="34"/>
  <c r="H232" i="34"/>
  <c r="I232" i="34"/>
  <c r="J232" i="34"/>
  <c r="K232" i="34"/>
  <c r="L232" i="34"/>
  <c r="M232" i="34"/>
  <c r="N232" i="34"/>
  <c r="O232" i="34"/>
  <c r="P232" i="34"/>
  <c r="E187" i="34"/>
  <c r="F187" i="34"/>
  <c r="G187" i="34"/>
  <c r="H187" i="34"/>
  <c r="I187" i="34"/>
  <c r="J187" i="34"/>
  <c r="K187" i="34"/>
  <c r="L187" i="34"/>
  <c r="M187" i="34"/>
  <c r="N187" i="34"/>
  <c r="O187" i="34"/>
  <c r="P187" i="34"/>
  <c r="Q187" i="34"/>
  <c r="E184" i="34"/>
  <c r="F184" i="34"/>
  <c r="G184" i="34"/>
  <c r="H184" i="34"/>
  <c r="I184" i="34"/>
  <c r="J184" i="34"/>
  <c r="K184" i="34"/>
  <c r="L184" i="34"/>
  <c r="M184" i="34"/>
  <c r="N184" i="34"/>
  <c r="O184" i="34"/>
  <c r="P184" i="34"/>
  <c r="Q184" i="34"/>
  <c r="E185" i="34"/>
  <c r="F185" i="34"/>
  <c r="G185" i="34"/>
  <c r="H185" i="34"/>
  <c r="I185" i="34"/>
  <c r="J185" i="34"/>
  <c r="K185" i="34"/>
  <c r="L185" i="34"/>
  <c r="M185" i="34"/>
  <c r="N185" i="34"/>
  <c r="O185" i="34"/>
  <c r="P185" i="34"/>
  <c r="Q185" i="34"/>
  <c r="E186" i="34"/>
  <c r="F186" i="34"/>
  <c r="G186" i="34"/>
  <c r="H186" i="34"/>
  <c r="I186" i="34"/>
  <c r="J186" i="34"/>
  <c r="K186" i="34"/>
  <c r="L186" i="34"/>
  <c r="M186" i="34"/>
  <c r="N186" i="34"/>
  <c r="O186" i="34"/>
  <c r="P186" i="34"/>
  <c r="Q186" i="34"/>
  <c r="E182" i="34"/>
  <c r="F182" i="34"/>
  <c r="G182" i="34"/>
  <c r="H182" i="34"/>
  <c r="I182" i="34"/>
  <c r="J182" i="34"/>
  <c r="K182" i="34"/>
  <c r="L182" i="34"/>
  <c r="M182" i="34"/>
  <c r="N182" i="34"/>
  <c r="O182" i="34"/>
  <c r="P182" i="34"/>
  <c r="Q182" i="34"/>
  <c r="E183" i="34"/>
  <c r="F183" i="34"/>
  <c r="G183" i="34"/>
  <c r="H183" i="34"/>
  <c r="I183" i="34"/>
  <c r="J183" i="34"/>
  <c r="K183" i="34"/>
  <c r="L183" i="34"/>
  <c r="M183" i="34"/>
  <c r="N183" i="34"/>
  <c r="O183" i="34"/>
  <c r="P183" i="34"/>
  <c r="Q183" i="34"/>
  <c r="E174" i="34"/>
  <c r="E175" i="34"/>
  <c r="E176" i="34"/>
  <c r="E177" i="34"/>
  <c r="E178" i="34"/>
  <c r="E179" i="34"/>
  <c r="E180" i="34"/>
  <c r="E181" i="34"/>
  <c r="F178" i="34"/>
  <c r="G178" i="34"/>
  <c r="H178" i="34"/>
  <c r="I178" i="34"/>
  <c r="J178" i="34"/>
  <c r="K178" i="34"/>
  <c r="L178" i="34"/>
  <c r="M178" i="34"/>
  <c r="N178" i="34"/>
  <c r="O178" i="34"/>
  <c r="P178" i="34"/>
  <c r="Q178" i="34"/>
  <c r="F179" i="34"/>
  <c r="G179" i="34"/>
  <c r="H179" i="34"/>
  <c r="I179" i="34"/>
  <c r="J179" i="34"/>
  <c r="K179" i="34"/>
  <c r="L179" i="34"/>
  <c r="M179" i="34"/>
  <c r="N179" i="34"/>
  <c r="O179" i="34"/>
  <c r="P179" i="34"/>
  <c r="Q179" i="34"/>
  <c r="F180" i="34"/>
  <c r="G180" i="34"/>
  <c r="H180" i="34"/>
  <c r="I180" i="34"/>
  <c r="J180" i="34"/>
  <c r="K180" i="34"/>
  <c r="L180" i="34"/>
  <c r="M180" i="34"/>
  <c r="N180" i="34"/>
  <c r="O180" i="34"/>
  <c r="P180" i="34"/>
  <c r="Q180" i="34"/>
  <c r="F181" i="34"/>
  <c r="G181" i="34"/>
  <c r="H181" i="34"/>
  <c r="I181" i="34"/>
  <c r="J181" i="34"/>
  <c r="K181" i="34"/>
  <c r="L181" i="34"/>
  <c r="M181" i="34"/>
  <c r="N181" i="34"/>
  <c r="O181" i="34"/>
  <c r="P181" i="34"/>
  <c r="Q181" i="34"/>
  <c r="E173" i="34"/>
  <c r="F173" i="34"/>
  <c r="G173" i="34"/>
  <c r="H173" i="34"/>
  <c r="I173" i="34"/>
  <c r="J173" i="34"/>
  <c r="K173" i="34"/>
  <c r="L173" i="34"/>
  <c r="M173" i="34"/>
  <c r="N173" i="34"/>
  <c r="O173" i="34"/>
  <c r="P173" i="34"/>
  <c r="Q173" i="34"/>
  <c r="S173" i="34"/>
  <c r="U173" i="34"/>
  <c r="F174" i="34"/>
  <c r="G174" i="34"/>
  <c r="H174" i="34"/>
  <c r="I174" i="34"/>
  <c r="J174" i="34"/>
  <c r="K174" i="34"/>
  <c r="L174" i="34"/>
  <c r="M174" i="34"/>
  <c r="N174" i="34"/>
  <c r="O174" i="34"/>
  <c r="P174" i="34"/>
  <c r="Q174" i="34"/>
  <c r="S174" i="34"/>
  <c r="U174" i="34"/>
  <c r="F175" i="34"/>
  <c r="G175" i="34"/>
  <c r="H175" i="34"/>
  <c r="I175" i="34"/>
  <c r="J175" i="34"/>
  <c r="K175" i="34"/>
  <c r="L175" i="34"/>
  <c r="M175" i="34"/>
  <c r="N175" i="34"/>
  <c r="O175" i="34"/>
  <c r="P175" i="34"/>
  <c r="Q175" i="34"/>
  <c r="S175" i="34"/>
  <c r="U175" i="34"/>
  <c r="F176" i="34"/>
  <c r="G176" i="34"/>
  <c r="H176" i="34"/>
  <c r="I176" i="34"/>
  <c r="J176" i="34"/>
  <c r="K176" i="34"/>
  <c r="L176" i="34"/>
  <c r="M176" i="34"/>
  <c r="N176" i="34"/>
  <c r="O176" i="34"/>
  <c r="P176" i="34"/>
  <c r="Q176" i="34"/>
  <c r="S176" i="34"/>
  <c r="U176" i="34"/>
  <c r="F177" i="34"/>
  <c r="G177" i="34"/>
  <c r="H177" i="34"/>
  <c r="I177" i="34"/>
  <c r="J177" i="34"/>
  <c r="K177" i="34"/>
  <c r="L177" i="34"/>
  <c r="M177" i="34"/>
  <c r="N177" i="34"/>
  <c r="O177" i="34"/>
  <c r="P177" i="34"/>
  <c r="Q177" i="34"/>
  <c r="S177" i="34"/>
  <c r="U177" i="34"/>
  <c r="C29" i="35"/>
  <c r="Z283" i="34" l="1"/>
  <c r="Z275" i="34"/>
  <c r="Z267" i="34"/>
  <c r="Z259" i="34"/>
  <c r="Z251" i="34"/>
  <c r="Z243" i="34"/>
  <c r="Z227" i="34"/>
  <c r="Z219" i="34"/>
  <c r="Z211" i="34"/>
  <c r="Z203" i="34"/>
  <c r="Z195" i="34"/>
  <c r="Z171" i="34"/>
  <c r="Z162" i="34"/>
  <c r="Z161" i="34"/>
  <c r="Z159" i="34"/>
  <c r="B186" i="34"/>
  <c r="B185" i="34"/>
  <c r="B183" i="34"/>
  <c r="C495" i="31"/>
  <c r="C496" i="31"/>
  <c r="C497" i="31"/>
  <c r="C498" i="31"/>
  <c r="C100" i="27" l="1"/>
  <c r="C104" i="27"/>
  <c r="B67" i="31"/>
  <c r="C62" i="27" l="1"/>
  <c r="N160" i="34"/>
  <c r="K160" i="34"/>
  <c r="N159" i="34"/>
  <c r="K159" i="34"/>
  <c r="N158" i="34"/>
  <c r="K158" i="34"/>
  <c r="N157" i="34"/>
  <c r="K157" i="34"/>
  <c r="D386" i="31"/>
  <c r="H386" i="31"/>
  <c r="K386" i="31"/>
  <c r="J386" i="31"/>
  <c r="I386" i="31"/>
  <c r="H391" i="31"/>
  <c r="I391" i="31"/>
  <c r="J391" i="31"/>
  <c r="K391" i="31"/>
  <c r="H392" i="31"/>
  <c r="I392" i="31"/>
  <c r="J392" i="31"/>
  <c r="K392" i="31"/>
  <c r="H393" i="31"/>
  <c r="I393" i="31"/>
  <c r="J393" i="31"/>
  <c r="K393" i="31"/>
  <c r="H394" i="31"/>
  <c r="I394" i="31"/>
  <c r="J394" i="31"/>
  <c r="K394" i="31"/>
  <c r="H395" i="31"/>
  <c r="I395" i="31"/>
  <c r="J395" i="31"/>
  <c r="K395" i="31"/>
  <c r="H396" i="31"/>
  <c r="I396" i="31"/>
  <c r="J396" i="31"/>
  <c r="K396" i="31"/>
  <c r="H397" i="31"/>
  <c r="I397" i="31"/>
  <c r="J397" i="31"/>
  <c r="K397" i="31"/>
  <c r="H398" i="31"/>
  <c r="I398" i="31"/>
  <c r="J398" i="31"/>
  <c r="K398" i="31"/>
  <c r="H399" i="31"/>
  <c r="I399" i="31"/>
  <c r="J399" i="31"/>
  <c r="K399" i="31"/>
  <c r="H400" i="31"/>
  <c r="I400" i="31"/>
  <c r="J400" i="31"/>
  <c r="K400" i="31"/>
  <c r="H401" i="31"/>
  <c r="I401" i="31"/>
  <c r="J401" i="31"/>
  <c r="K401" i="31"/>
  <c r="H402" i="31"/>
  <c r="I402" i="31"/>
  <c r="J402" i="31"/>
  <c r="K402" i="31"/>
  <c r="H403" i="31"/>
  <c r="I403" i="31"/>
  <c r="J403" i="31"/>
  <c r="K403" i="31"/>
  <c r="H404" i="31"/>
  <c r="I404" i="31"/>
  <c r="J404" i="31"/>
  <c r="K404" i="31"/>
  <c r="H405" i="31"/>
  <c r="I405" i="31"/>
  <c r="J405" i="31"/>
  <c r="K405" i="31"/>
  <c r="H406" i="31"/>
  <c r="I406" i="31"/>
  <c r="J406" i="31"/>
  <c r="K406" i="31"/>
  <c r="H407" i="31"/>
  <c r="I407" i="31"/>
  <c r="J407" i="31"/>
  <c r="K407" i="31"/>
  <c r="H408" i="31"/>
  <c r="I408" i="31"/>
  <c r="J408" i="31"/>
  <c r="K408" i="31"/>
  <c r="H409" i="31"/>
  <c r="I409" i="31"/>
  <c r="J409" i="31"/>
  <c r="K409" i="31"/>
  <c r="H410" i="31"/>
  <c r="I410" i="31"/>
  <c r="J410" i="31"/>
  <c r="K410" i="31"/>
  <c r="H411" i="31"/>
  <c r="I411" i="31"/>
  <c r="J411" i="31"/>
  <c r="K411" i="31"/>
  <c r="H412" i="31"/>
  <c r="I412" i="31"/>
  <c r="J412" i="31"/>
  <c r="K412" i="31"/>
  <c r="H413" i="31"/>
  <c r="I413" i="31"/>
  <c r="J413" i="31"/>
  <c r="K413" i="31"/>
  <c r="H414" i="31"/>
  <c r="I414" i="31"/>
  <c r="J414" i="31"/>
  <c r="K414" i="31"/>
  <c r="H415" i="31"/>
  <c r="I415" i="31"/>
  <c r="J415" i="31"/>
  <c r="K415" i="31"/>
  <c r="H416" i="31"/>
  <c r="I416" i="31"/>
  <c r="J416" i="31"/>
  <c r="K416" i="31"/>
  <c r="H417" i="31"/>
  <c r="I417" i="31"/>
  <c r="J417" i="31"/>
  <c r="K417" i="31"/>
  <c r="H418" i="31"/>
  <c r="I418" i="31"/>
  <c r="J418" i="31"/>
  <c r="K418" i="31"/>
  <c r="H419" i="31"/>
  <c r="I419" i="31"/>
  <c r="J419" i="31"/>
  <c r="K419" i="31"/>
  <c r="H420" i="31"/>
  <c r="I420" i="31"/>
  <c r="J420" i="31"/>
  <c r="K420" i="31"/>
  <c r="H421" i="31"/>
  <c r="I421" i="31"/>
  <c r="J421" i="31"/>
  <c r="K421" i="31"/>
  <c r="H422" i="31"/>
  <c r="I422" i="31"/>
  <c r="J422" i="31"/>
  <c r="K422" i="31"/>
  <c r="H423" i="31"/>
  <c r="I423" i="31"/>
  <c r="J423" i="31"/>
  <c r="K423" i="31"/>
  <c r="H424" i="31"/>
  <c r="I424" i="31"/>
  <c r="J424" i="31"/>
  <c r="K424" i="31"/>
  <c r="H425" i="31"/>
  <c r="I425" i="31"/>
  <c r="J425" i="31"/>
  <c r="K425" i="31"/>
  <c r="H426" i="31"/>
  <c r="I426" i="31"/>
  <c r="J426" i="31"/>
  <c r="K426" i="31"/>
  <c r="H427" i="31"/>
  <c r="I427" i="31"/>
  <c r="J427" i="31"/>
  <c r="K427" i="31"/>
  <c r="H428" i="31"/>
  <c r="I428" i="31"/>
  <c r="J428" i="31"/>
  <c r="K428" i="31"/>
  <c r="H429" i="31"/>
  <c r="I429" i="31"/>
  <c r="J429" i="31"/>
  <c r="K429" i="31"/>
  <c r="H430" i="31"/>
  <c r="I430" i="31"/>
  <c r="J430" i="31"/>
  <c r="K430" i="31"/>
  <c r="H431" i="31"/>
  <c r="I431" i="31"/>
  <c r="J431" i="31"/>
  <c r="K431" i="31"/>
  <c r="H432" i="31"/>
  <c r="I432" i="31"/>
  <c r="J432" i="31"/>
  <c r="K432" i="31"/>
  <c r="H433" i="31"/>
  <c r="I433" i="31"/>
  <c r="J433" i="31"/>
  <c r="K433" i="31"/>
  <c r="H434" i="31"/>
  <c r="I434" i="31"/>
  <c r="J434" i="31"/>
  <c r="K434" i="31"/>
  <c r="H435" i="31"/>
  <c r="I435" i="31"/>
  <c r="J435" i="31"/>
  <c r="K435" i="31"/>
  <c r="H436" i="31"/>
  <c r="I436" i="31"/>
  <c r="J436" i="31"/>
  <c r="K436" i="31"/>
  <c r="H437" i="31"/>
  <c r="I437" i="31"/>
  <c r="J437" i="31"/>
  <c r="K437" i="31"/>
  <c r="H438" i="31"/>
  <c r="I438" i="31"/>
  <c r="J438" i="31"/>
  <c r="K438" i="31"/>
  <c r="H439" i="31"/>
  <c r="I439" i="31"/>
  <c r="J439" i="31"/>
  <c r="K439" i="31"/>
  <c r="H440" i="31"/>
  <c r="I440" i="31"/>
  <c r="J440" i="31"/>
  <c r="K440" i="31"/>
  <c r="H441" i="31"/>
  <c r="I441" i="31"/>
  <c r="J441" i="31"/>
  <c r="K441" i="31"/>
  <c r="H442" i="31"/>
  <c r="I442" i="31"/>
  <c r="J442" i="31"/>
  <c r="K442" i="31"/>
  <c r="H443" i="31"/>
  <c r="I443" i="31"/>
  <c r="J443" i="31"/>
  <c r="K443" i="31"/>
  <c r="H444" i="31"/>
  <c r="I444" i="31"/>
  <c r="J444" i="31"/>
  <c r="K444" i="31"/>
  <c r="H445" i="31"/>
  <c r="I445" i="31"/>
  <c r="J445" i="31"/>
  <c r="K445" i="31"/>
  <c r="H446" i="31"/>
  <c r="I446" i="31"/>
  <c r="J446" i="31"/>
  <c r="K446" i="31"/>
  <c r="H447" i="31"/>
  <c r="I447" i="31"/>
  <c r="J447" i="31"/>
  <c r="K447" i="31"/>
  <c r="H448" i="31"/>
  <c r="I448" i="31"/>
  <c r="J448" i="31"/>
  <c r="K448" i="31"/>
  <c r="H449" i="31"/>
  <c r="I449" i="31"/>
  <c r="J449" i="31"/>
  <c r="K449" i="31"/>
  <c r="H450" i="31"/>
  <c r="I450" i="31"/>
  <c r="J450" i="31"/>
  <c r="K450" i="31"/>
  <c r="H451" i="31"/>
  <c r="I451" i="31"/>
  <c r="J451" i="31"/>
  <c r="K451" i="31"/>
  <c r="H452" i="31"/>
  <c r="I452" i="31"/>
  <c r="J452" i="31"/>
  <c r="K452" i="31"/>
  <c r="H453" i="31"/>
  <c r="I453" i="31"/>
  <c r="J453" i="31"/>
  <c r="K453" i="31"/>
  <c r="H454" i="31"/>
  <c r="I454" i="31"/>
  <c r="J454" i="31"/>
  <c r="K454" i="31"/>
  <c r="H455" i="31"/>
  <c r="I455" i="31"/>
  <c r="J455" i="31"/>
  <c r="K455" i="31"/>
  <c r="H456" i="31"/>
  <c r="I456" i="31"/>
  <c r="J456" i="31"/>
  <c r="K456" i="31"/>
  <c r="H457" i="31"/>
  <c r="I457" i="31"/>
  <c r="J457" i="31"/>
  <c r="K457" i="31"/>
  <c r="H458" i="31"/>
  <c r="I458" i="31"/>
  <c r="J458" i="31"/>
  <c r="K458" i="31"/>
  <c r="H459" i="31"/>
  <c r="I459" i="31"/>
  <c r="J459" i="31"/>
  <c r="K459" i="31"/>
  <c r="H460" i="31"/>
  <c r="I460" i="31"/>
  <c r="J460" i="31"/>
  <c r="K460" i="31"/>
  <c r="H461" i="31"/>
  <c r="I461" i="31"/>
  <c r="J461" i="31"/>
  <c r="K461" i="31"/>
  <c r="H462" i="31"/>
  <c r="I462" i="31"/>
  <c r="J462" i="31"/>
  <c r="K462" i="31"/>
  <c r="H463" i="31"/>
  <c r="I463" i="31"/>
  <c r="J463" i="31"/>
  <c r="K463" i="31"/>
  <c r="H464" i="31"/>
  <c r="I464" i="31"/>
  <c r="J464" i="31"/>
  <c r="K464" i="31"/>
  <c r="H465" i="31"/>
  <c r="I465" i="31"/>
  <c r="J465" i="31"/>
  <c r="K465" i="31"/>
  <c r="H466" i="31"/>
  <c r="I466" i="31"/>
  <c r="J466" i="31"/>
  <c r="K466" i="31"/>
  <c r="H467" i="31"/>
  <c r="I467" i="31"/>
  <c r="J467" i="31"/>
  <c r="K467" i="31"/>
  <c r="H468" i="31"/>
  <c r="I468" i="31"/>
  <c r="J468" i="31"/>
  <c r="K468" i="31"/>
  <c r="H469" i="31"/>
  <c r="I469" i="31"/>
  <c r="J469" i="31"/>
  <c r="K469" i="31"/>
  <c r="H470" i="31"/>
  <c r="I470" i="31"/>
  <c r="J470" i="31"/>
  <c r="K470" i="31"/>
  <c r="H471" i="31"/>
  <c r="I471" i="31"/>
  <c r="J471" i="31"/>
  <c r="K471" i="31"/>
  <c r="H472" i="31"/>
  <c r="I472" i="31"/>
  <c r="J472" i="31"/>
  <c r="K472" i="31"/>
  <c r="H473" i="31"/>
  <c r="I473" i="31"/>
  <c r="J473" i="31"/>
  <c r="K473" i="31"/>
  <c r="H474" i="31"/>
  <c r="I474" i="31"/>
  <c r="J474" i="31"/>
  <c r="K474" i="31"/>
  <c r="H475" i="31"/>
  <c r="I475" i="31"/>
  <c r="J475" i="31"/>
  <c r="K475" i="31"/>
  <c r="H476" i="31"/>
  <c r="I476" i="31"/>
  <c r="J476" i="31"/>
  <c r="K476" i="31"/>
  <c r="H477" i="31"/>
  <c r="I477" i="31"/>
  <c r="J477" i="31"/>
  <c r="K477" i="31"/>
  <c r="H478" i="31"/>
  <c r="I478" i="31"/>
  <c r="J478" i="31"/>
  <c r="K478" i="31"/>
  <c r="H479" i="31"/>
  <c r="I479" i="31"/>
  <c r="J479" i="31"/>
  <c r="K479" i="31"/>
  <c r="H480" i="31"/>
  <c r="I480" i="31"/>
  <c r="J480" i="31"/>
  <c r="K480" i="31"/>
  <c r="H481" i="31"/>
  <c r="I481" i="31"/>
  <c r="J481" i="31"/>
  <c r="K481" i="31"/>
  <c r="H482" i="31"/>
  <c r="I482" i="31"/>
  <c r="J482" i="31"/>
  <c r="K482" i="31"/>
  <c r="H483" i="31"/>
  <c r="I483" i="31"/>
  <c r="J483" i="31"/>
  <c r="K483" i="31"/>
  <c r="H484" i="31"/>
  <c r="I484" i="31"/>
  <c r="J484" i="31"/>
  <c r="K484" i="31"/>
  <c r="H485" i="31"/>
  <c r="I485" i="31"/>
  <c r="J485" i="31"/>
  <c r="K485" i="31"/>
  <c r="H486" i="31"/>
  <c r="I486" i="31"/>
  <c r="J486" i="31"/>
  <c r="K486" i="31"/>
  <c r="H487" i="31"/>
  <c r="I487" i="31"/>
  <c r="J487" i="31"/>
  <c r="K487" i="31"/>
  <c r="H488" i="31"/>
  <c r="I488" i="31"/>
  <c r="J488" i="31"/>
  <c r="K488" i="31"/>
  <c r="H489" i="31"/>
  <c r="I489" i="31"/>
  <c r="J489" i="31"/>
  <c r="K489" i="31"/>
  <c r="H490" i="31"/>
  <c r="I490" i="31"/>
  <c r="J490" i="31"/>
  <c r="K490" i="31"/>
  <c r="H491" i="31"/>
  <c r="I491" i="31"/>
  <c r="J491" i="31"/>
  <c r="K491" i="31"/>
  <c r="H492" i="31"/>
  <c r="I492" i="31"/>
  <c r="J492" i="31"/>
  <c r="K492" i="31"/>
  <c r="H493" i="31"/>
  <c r="I493" i="31"/>
  <c r="J493" i="31"/>
  <c r="K493" i="31"/>
  <c r="H494" i="31"/>
  <c r="I494" i="31"/>
  <c r="J494" i="31"/>
  <c r="K494" i="31"/>
  <c r="H495" i="31"/>
  <c r="I495" i="31"/>
  <c r="J495" i="31"/>
  <c r="K495" i="31"/>
  <c r="H496" i="31"/>
  <c r="I496" i="31"/>
  <c r="J496" i="31"/>
  <c r="K496" i="31"/>
  <c r="H497" i="31"/>
  <c r="I497" i="31"/>
  <c r="J497" i="31"/>
  <c r="K497" i="31"/>
  <c r="H498" i="31"/>
  <c r="I498" i="31"/>
  <c r="J498" i="31"/>
  <c r="K498" i="31"/>
  <c r="H499" i="31"/>
  <c r="I499" i="31"/>
  <c r="J499" i="31"/>
  <c r="K499" i="31"/>
  <c r="H500" i="31"/>
  <c r="I500" i="31"/>
  <c r="J500" i="31"/>
  <c r="K500" i="31"/>
  <c r="H501" i="31"/>
  <c r="I501" i="31"/>
  <c r="J501" i="31"/>
  <c r="K501" i="31"/>
  <c r="H502" i="31"/>
  <c r="I502" i="31"/>
  <c r="J502" i="31"/>
  <c r="K502" i="31"/>
  <c r="H503" i="31"/>
  <c r="I503" i="31"/>
  <c r="J503" i="31"/>
  <c r="K503" i="31"/>
  <c r="H504" i="31"/>
  <c r="I504" i="31"/>
  <c r="J504" i="31"/>
  <c r="K504" i="31"/>
  <c r="H505" i="31"/>
  <c r="I505" i="31"/>
  <c r="J505" i="31"/>
  <c r="K505" i="31"/>
  <c r="H506" i="31"/>
  <c r="I506" i="31"/>
  <c r="J506" i="31"/>
  <c r="K506" i="31"/>
  <c r="H507" i="31"/>
  <c r="I507" i="31"/>
  <c r="J507" i="31"/>
  <c r="K507" i="31"/>
  <c r="H508" i="31"/>
  <c r="I508" i="31"/>
  <c r="J508" i="31"/>
  <c r="K508" i="31"/>
  <c r="H509" i="31"/>
  <c r="I509" i="31"/>
  <c r="J509" i="31"/>
  <c r="K509" i="31"/>
  <c r="H510" i="31"/>
  <c r="I510" i="31"/>
  <c r="J510" i="31"/>
  <c r="K510" i="31"/>
  <c r="H511" i="31"/>
  <c r="I511" i="31"/>
  <c r="J511" i="31"/>
  <c r="K511" i="31"/>
  <c r="H512" i="31"/>
  <c r="I512" i="31"/>
  <c r="J512" i="31"/>
  <c r="K512" i="31"/>
  <c r="H513" i="31"/>
  <c r="I513" i="31"/>
  <c r="J513" i="31"/>
  <c r="K513" i="31"/>
  <c r="H514" i="31"/>
  <c r="I514" i="31"/>
  <c r="J514" i="31"/>
  <c r="K514" i="31"/>
  <c r="H515" i="31"/>
  <c r="I515" i="31"/>
  <c r="J515" i="31"/>
  <c r="K515" i="31"/>
  <c r="H516" i="31"/>
  <c r="I516" i="31"/>
  <c r="J516" i="31"/>
  <c r="K516" i="31"/>
  <c r="H517" i="31"/>
  <c r="I517" i="31"/>
  <c r="J517" i="31"/>
  <c r="K517" i="31"/>
  <c r="H518" i="31"/>
  <c r="I518" i="31"/>
  <c r="J518" i="31"/>
  <c r="K518" i="31"/>
  <c r="K390" i="31"/>
  <c r="J390" i="31"/>
  <c r="I390" i="31"/>
  <c r="H390" i="31"/>
  <c r="K389" i="31"/>
  <c r="J389" i="31"/>
  <c r="I389" i="31"/>
  <c r="H389" i="31"/>
  <c r="I388" i="31"/>
  <c r="J388" i="31"/>
  <c r="K388" i="31"/>
  <c r="H388" i="31"/>
  <c r="I387" i="31"/>
  <c r="J387" i="31"/>
  <c r="K387" i="31"/>
  <c r="H387" i="31"/>
  <c r="C387" i="31"/>
  <c r="C388" i="31"/>
  <c r="C389" i="31"/>
  <c r="C390" i="31"/>
  <c r="C391" i="31"/>
  <c r="C392" i="31"/>
  <c r="C393" i="31"/>
  <c r="C394" i="31"/>
  <c r="C395" i="31"/>
  <c r="C396" i="31"/>
  <c r="C397" i="31"/>
  <c r="C398" i="31"/>
  <c r="C399" i="31"/>
  <c r="C400" i="31"/>
  <c r="C401" i="31"/>
  <c r="C402" i="31"/>
  <c r="C403" i="31"/>
  <c r="C404" i="31"/>
  <c r="C405" i="31"/>
  <c r="C406" i="31"/>
  <c r="D112" i="31"/>
  <c r="D87" i="31"/>
  <c r="D43" i="31"/>
  <c r="A29" i="35" l="1"/>
  <c r="N18" i="34" l="1"/>
  <c r="N24" i="34"/>
  <c r="N23" i="34"/>
  <c r="N88" i="34"/>
  <c r="N87" i="34"/>
  <c r="K18" i="34"/>
  <c r="K24" i="34"/>
  <c r="K23" i="34"/>
  <c r="K88" i="34"/>
  <c r="K87" i="34"/>
  <c r="N19" i="34"/>
  <c r="K19" i="34"/>
  <c r="N17" i="34" l="1"/>
  <c r="N16" i="34"/>
  <c r="N15" i="34"/>
  <c r="N12" i="34"/>
  <c r="N10" i="34"/>
  <c r="N11" i="34"/>
  <c r="N9" i="34"/>
  <c r="K17" i="34"/>
  <c r="K16" i="34"/>
  <c r="K15" i="34"/>
  <c r="K12" i="34"/>
  <c r="K10" i="34"/>
  <c r="K11" i="34"/>
  <c r="K9" i="34"/>
  <c r="G283" i="34" l="1"/>
  <c r="G282" i="34"/>
  <c r="G281" i="34"/>
  <c r="G280" i="34"/>
  <c r="G279" i="34"/>
  <c r="N265" i="34"/>
  <c r="K265" i="34"/>
  <c r="N264" i="34"/>
  <c r="K264" i="34"/>
  <c r="N263" i="34"/>
  <c r="K263" i="34"/>
  <c r="N262" i="34"/>
  <c r="K262" i="34"/>
  <c r="N261" i="34"/>
  <c r="K261" i="34"/>
  <c r="N260" i="34"/>
  <c r="K260" i="34"/>
  <c r="N259" i="34"/>
  <c r="K259" i="34"/>
  <c r="N258" i="34"/>
  <c r="K258" i="34"/>
  <c r="N257" i="34"/>
  <c r="K257" i="34"/>
  <c r="N256" i="34"/>
  <c r="K256" i="34"/>
  <c r="N255" i="34"/>
  <c r="K255" i="34"/>
  <c r="N254" i="34"/>
  <c r="K254" i="34"/>
  <c r="N253" i="34"/>
  <c r="K253" i="34"/>
  <c r="N252" i="34"/>
  <c r="K252" i="34"/>
  <c r="N251" i="34"/>
  <c r="K251" i="34"/>
  <c r="N250" i="34"/>
  <c r="K250" i="34"/>
  <c r="N249" i="34"/>
  <c r="K249" i="34"/>
  <c r="N248" i="34"/>
  <c r="K248" i="34"/>
  <c r="N247" i="34"/>
  <c r="K247" i="34"/>
  <c r="N246" i="34"/>
  <c r="K246" i="34"/>
  <c r="N245" i="34"/>
  <c r="K245" i="34"/>
  <c r="N244" i="34"/>
  <c r="K244" i="34"/>
  <c r="N243" i="34"/>
  <c r="K243" i="34"/>
  <c r="N242" i="34"/>
  <c r="K242" i="34"/>
  <c r="N241" i="34"/>
  <c r="K241" i="34"/>
  <c r="N240" i="34"/>
  <c r="K240" i="34"/>
  <c r="N239" i="34"/>
  <c r="K239" i="34"/>
  <c r="G221" i="34"/>
  <c r="G213" i="34"/>
  <c r="G211" i="34"/>
  <c r="G208" i="34"/>
  <c r="G207" i="34"/>
  <c r="G206" i="34"/>
  <c r="G205" i="34"/>
  <c r="G204" i="34"/>
  <c r="G196" i="34"/>
  <c r="G193" i="34"/>
  <c r="G190" i="34"/>
  <c r="G189" i="34"/>
  <c r="G188" i="34"/>
  <c r="N106" i="34"/>
  <c r="N107" i="34"/>
  <c r="N108" i="34"/>
  <c r="N110" i="34"/>
  <c r="N111" i="34"/>
  <c r="N112" i="34"/>
  <c r="N113" i="34"/>
  <c r="N115" i="34"/>
  <c r="N117" i="34"/>
  <c r="N118" i="34"/>
  <c r="N119" i="34"/>
  <c r="N122" i="34"/>
  <c r="N123" i="34"/>
  <c r="N124" i="34"/>
  <c r="N127" i="34"/>
  <c r="N128" i="34"/>
  <c r="N129" i="34"/>
  <c r="N130" i="34"/>
  <c r="N131" i="34"/>
  <c r="N132" i="34"/>
  <c r="N133" i="34"/>
  <c r="N134" i="34"/>
  <c r="N135" i="34"/>
  <c r="N137" i="34"/>
  <c r="N140" i="34"/>
  <c r="N141" i="34"/>
  <c r="K106" i="34"/>
  <c r="K107" i="34"/>
  <c r="K108" i="34"/>
  <c r="K110" i="34"/>
  <c r="K111" i="34"/>
  <c r="K112" i="34"/>
  <c r="K113" i="34"/>
  <c r="K115" i="34"/>
  <c r="K117" i="34"/>
  <c r="K118" i="34"/>
  <c r="K119" i="34"/>
  <c r="K122" i="34"/>
  <c r="K123" i="34"/>
  <c r="K124" i="34"/>
  <c r="K127" i="34"/>
  <c r="K128" i="34"/>
  <c r="K129" i="34"/>
  <c r="K130" i="34"/>
  <c r="K131" i="34"/>
  <c r="K132" i="34"/>
  <c r="K133" i="34"/>
  <c r="K134" i="34"/>
  <c r="K135" i="34"/>
  <c r="K137" i="34"/>
  <c r="K140" i="34"/>
  <c r="K141" i="34"/>
  <c r="G146" i="34"/>
  <c r="G145" i="34"/>
  <c r="G144" i="34"/>
  <c r="G143" i="34"/>
  <c r="G142" i="34"/>
  <c r="N103" i="34"/>
  <c r="K103" i="34"/>
  <c r="G101" i="34"/>
  <c r="G100" i="34"/>
  <c r="G95" i="34"/>
  <c r="G94" i="34"/>
  <c r="G93" i="34"/>
  <c r="G92" i="34"/>
  <c r="G83" i="34"/>
  <c r="G79" i="34"/>
  <c r="G75" i="34"/>
  <c r="G72" i="34"/>
  <c r="G70" i="34"/>
  <c r="G69" i="34"/>
  <c r="G68" i="34"/>
  <c r="G67" i="34"/>
  <c r="G62" i="34"/>
  <c r="G59" i="34"/>
  <c r="G54" i="34"/>
  <c r="G53" i="34"/>
  <c r="G52" i="34"/>
  <c r="G51" i="34"/>
  <c r="G50" i="34"/>
  <c r="G49" i="34"/>
  <c r="G48" i="34"/>
  <c r="G47" i="34"/>
  <c r="G46" i="34"/>
  <c r="G45" i="34"/>
  <c r="G27" i="34"/>
  <c r="G26" i="34"/>
  <c r="G25" i="34"/>
  <c r="G22" i="34"/>
  <c r="G21" i="34"/>
  <c r="G13" i="34"/>
  <c r="B20" i="34"/>
  <c r="B68" i="34" l="1"/>
  <c r="B69" i="34"/>
  <c r="B70" i="34"/>
  <c r="B50" i="34"/>
  <c r="B51" i="34"/>
  <c r="B83" i="34"/>
  <c r="B89" i="34"/>
  <c r="B90" i="34"/>
  <c r="B106" i="34"/>
  <c r="B107" i="34"/>
  <c r="B108" i="34"/>
  <c r="B110" i="34"/>
  <c r="B111" i="34"/>
  <c r="B112" i="34"/>
  <c r="B113" i="34"/>
  <c r="B115" i="34"/>
  <c r="B117" i="34"/>
  <c r="B118" i="34"/>
  <c r="B247" i="34" l="1"/>
  <c r="B246" i="34"/>
  <c r="B242" i="34"/>
  <c r="B207" i="34"/>
  <c r="B243" i="34"/>
  <c r="B249" i="34"/>
  <c r="B245" i="34"/>
  <c r="B241" i="34"/>
  <c r="B221" i="34"/>
  <c r="B206" i="34"/>
  <c r="B248" i="34"/>
  <c r="B244" i="34"/>
  <c r="B240" i="34"/>
  <c r="B205" i="34"/>
  <c r="B80" i="31" l="1"/>
  <c r="B81" i="31"/>
  <c r="B109" i="31"/>
  <c r="B79" i="31"/>
  <c r="B74" i="31"/>
  <c r="B75" i="31"/>
  <c r="B76" i="31"/>
  <c r="B77" i="31"/>
  <c r="B78" i="31"/>
  <c r="B46" i="31"/>
  <c r="B47" i="31"/>
  <c r="B48" i="31"/>
  <c r="B49" i="31"/>
  <c r="O80" i="27"/>
  <c r="O73" i="27"/>
  <c r="O76" i="27" l="1"/>
  <c r="O82" i="27"/>
  <c r="O78" i="27"/>
  <c r="O74" i="27"/>
  <c r="O72" i="27"/>
  <c r="O79" i="27"/>
  <c r="O75" i="27"/>
  <c r="O81" i="27"/>
  <c r="O77" i="27"/>
  <c r="B73" i="31"/>
  <c r="B125" i="31"/>
  <c r="B114" i="27" s="1"/>
  <c r="B126" i="31"/>
  <c r="B110" i="27" s="1"/>
  <c r="B127" i="31"/>
  <c r="B111" i="27" s="1"/>
  <c r="B128" i="31"/>
  <c r="B129" i="31"/>
  <c r="B119" i="27" s="1"/>
  <c r="B130" i="31"/>
  <c r="B120" i="27" s="1"/>
  <c r="B131" i="31"/>
  <c r="B121" i="27" s="1"/>
  <c r="B132" i="31"/>
  <c r="B130" i="27" s="1"/>
  <c r="B133" i="31"/>
  <c r="B131" i="27" s="1"/>
  <c r="B134" i="31"/>
  <c r="B124" i="27" s="1"/>
  <c r="B135" i="31"/>
  <c r="B11" i="31"/>
  <c r="B370" i="31"/>
  <c r="B369" i="31"/>
  <c r="B368" i="31"/>
  <c r="B367" i="31"/>
  <c r="B109" i="27" l="1"/>
  <c r="B116" i="27"/>
  <c r="B123" i="27"/>
  <c r="B127" i="27"/>
  <c r="B129" i="27"/>
  <c r="B115" i="27"/>
  <c r="B122" i="27"/>
  <c r="B132" i="27"/>
  <c r="B128" i="27"/>
  <c r="B61" i="31"/>
  <c r="B136" i="31"/>
  <c r="B137" i="31"/>
  <c r="B149" i="27" s="1"/>
  <c r="B138" i="31"/>
  <c r="B150" i="27" s="1"/>
  <c r="B139" i="31"/>
  <c r="B151" i="27" s="1"/>
  <c r="B140" i="31"/>
  <c r="B141" i="31"/>
  <c r="B142" i="31"/>
  <c r="B143" i="31"/>
  <c r="B144" i="31"/>
  <c r="B145" i="31"/>
  <c r="B146" i="31"/>
  <c r="B147" i="31"/>
  <c r="B54" i="31"/>
  <c r="B52" i="31"/>
  <c r="B53" i="31"/>
  <c r="B55" i="31"/>
  <c r="B56" i="31"/>
  <c r="B57" i="31"/>
  <c r="B58" i="31"/>
  <c r="B50" i="31"/>
  <c r="B51" i="31"/>
  <c r="B59" i="31"/>
  <c r="B60" i="31"/>
  <c r="B26" i="31"/>
  <c r="B27" i="31"/>
  <c r="B28" i="31"/>
  <c r="B29" i="31"/>
  <c r="B23" i="31"/>
  <c r="B24" i="31"/>
  <c r="B25" i="31"/>
  <c r="B10" i="31"/>
  <c r="B19" i="31"/>
  <c r="B20" i="31"/>
  <c r="B21" i="31"/>
  <c r="E137" i="27"/>
  <c r="E138" i="27"/>
  <c r="E139" i="27"/>
  <c r="E140" i="27"/>
  <c r="E141" i="27"/>
  <c r="E142" i="27"/>
  <c r="E143" i="27"/>
  <c r="E144" i="27"/>
  <c r="E145" i="27"/>
  <c r="E146" i="27"/>
  <c r="E136" i="27"/>
  <c r="D137" i="27"/>
  <c r="D138" i="27"/>
  <c r="D139" i="27"/>
  <c r="D140" i="27"/>
  <c r="D141" i="27"/>
  <c r="D142" i="27"/>
  <c r="D143" i="27"/>
  <c r="D144" i="27"/>
  <c r="D145" i="27"/>
  <c r="D146" i="27"/>
  <c r="D136" i="27"/>
  <c r="B14" i="34"/>
  <c r="B21" i="34"/>
  <c r="B22" i="34"/>
  <c r="B25" i="34"/>
  <c r="B26" i="34"/>
  <c r="B27" i="34"/>
  <c r="B28" i="34"/>
  <c r="B29" i="34"/>
  <c r="B45" i="34"/>
  <c r="B46" i="34"/>
  <c r="B47" i="34"/>
  <c r="B48" i="34"/>
  <c r="B49" i="34"/>
  <c r="B52" i="34"/>
  <c r="B53" i="34"/>
  <c r="B54" i="34"/>
  <c r="B57" i="34"/>
  <c r="B58" i="34"/>
  <c r="B59" i="34"/>
  <c r="B60" i="34"/>
  <c r="B61" i="34"/>
  <c r="B62" i="34"/>
  <c r="B63" i="34"/>
  <c r="B64" i="34"/>
  <c r="B65" i="34"/>
  <c r="B66" i="34"/>
  <c r="B67" i="34"/>
  <c r="B72" i="34"/>
  <c r="B73" i="34"/>
  <c r="B74" i="34"/>
  <c r="B75" i="34"/>
  <c r="B77" i="34"/>
  <c r="B79" i="34"/>
  <c r="B80" i="34"/>
  <c r="B81" i="34"/>
  <c r="B82" i="34"/>
  <c r="B91" i="34"/>
  <c r="B92" i="34"/>
  <c r="B93" i="34"/>
  <c r="B94" i="34"/>
  <c r="B95" i="34"/>
  <c r="B100" i="34"/>
  <c r="B101" i="34"/>
  <c r="B103" i="34"/>
  <c r="B119" i="34"/>
  <c r="B122" i="34"/>
  <c r="B123" i="34"/>
  <c r="B124" i="34"/>
  <c r="B127" i="34"/>
  <c r="B128" i="34"/>
  <c r="B129" i="34"/>
  <c r="B130" i="34"/>
  <c r="B131" i="34"/>
  <c r="B132" i="34"/>
  <c r="B133" i="34"/>
  <c r="B134" i="34"/>
  <c r="B135" i="34"/>
  <c r="B137" i="34"/>
  <c r="B140" i="34"/>
  <c r="B141" i="34"/>
  <c r="B142" i="34"/>
  <c r="B143" i="34"/>
  <c r="B144" i="34"/>
  <c r="B145" i="34"/>
  <c r="B146" i="34"/>
  <c r="B15" i="34"/>
  <c r="B16" i="34"/>
  <c r="B17" i="34"/>
  <c r="B19" i="34"/>
  <c r="B18" i="34"/>
  <c r="B24" i="34"/>
  <c r="B23" i="34"/>
  <c r="B88" i="34"/>
  <c r="B234" i="34" s="1"/>
  <c r="B87" i="34"/>
  <c r="B233" i="34" s="1"/>
  <c r="B35" i="34"/>
  <c r="B178" i="34" s="1"/>
  <c r="B30" i="34"/>
  <c r="B173" i="34" s="1"/>
  <c r="B184" i="34"/>
  <c r="B182" i="34"/>
  <c r="B187" i="34"/>
  <c r="B147" i="34"/>
  <c r="B85" i="34"/>
  <c r="B231" i="34" s="1"/>
  <c r="B86" i="34"/>
  <c r="B232" i="34" s="1"/>
  <c r="B99" i="34"/>
  <c r="B238" i="34" s="1"/>
  <c r="B96" i="34"/>
  <c r="B235" i="34" s="1"/>
  <c r="B97" i="34"/>
  <c r="B236" i="34" s="1"/>
  <c r="B56" i="34"/>
  <c r="B55" i="34"/>
  <c r="B71" i="34"/>
  <c r="B78" i="34"/>
  <c r="B76" i="34"/>
  <c r="B150" i="34"/>
  <c r="B151" i="34"/>
  <c r="B149" i="34"/>
  <c r="B148" i="34"/>
  <c r="B84" i="34"/>
  <c r="B105" i="34"/>
  <c r="B104" i="34"/>
  <c r="B126" i="34"/>
  <c r="B136" i="34"/>
  <c r="B139" i="34"/>
  <c r="B138" i="34"/>
  <c r="B109" i="34"/>
  <c r="B125" i="34"/>
  <c r="B102" i="34"/>
  <c r="B116" i="34"/>
  <c r="B114" i="34"/>
  <c r="B121" i="34"/>
  <c r="B120" i="34"/>
  <c r="B98" i="34"/>
  <c r="B237" i="34" s="1"/>
  <c r="H113" i="27" l="1"/>
  <c r="D113" i="27"/>
  <c r="F108" i="27"/>
  <c r="G113" i="27"/>
  <c r="C113" i="27"/>
  <c r="E108" i="27"/>
  <c r="F113" i="27"/>
  <c r="H108" i="27"/>
  <c r="D108" i="27"/>
  <c r="E113" i="27"/>
  <c r="G108" i="27"/>
  <c r="C108" i="27"/>
  <c r="B160" i="34"/>
  <c r="B12" i="34"/>
  <c r="B10" i="34"/>
  <c r="B158" i="34"/>
  <c r="B159" i="34"/>
  <c r="B11" i="34"/>
  <c r="B157" i="34"/>
  <c r="B9" i="34"/>
  <c r="B265" i="34"/>
  <c r="B261" i="34"/>
  <c r="B257" i="34"/>
  <c r="B253" i="34"/>
  <c r="B239" i="34"/>
  <c r="B220" i="34"/>
  <c r="B212" i="34"/>
  <c r="B208" i="34"/>
  <c r="B201" i="34"/>
  <c r="B194" i="34"/>
  <c r="B190" i="34"/>
  <c r="B264" i="34"/>
  <c r="B260" i="34"/>
  <c r="B256" i="34"/>
  <c r="B252" i="34"/>
  <c r="B219" i="34"/>
  <c r="B211" i="34"/>
  <c r="B204" i="34"/>
  <c r="B200" i="34"/>
  <c r="B193" i="34"/>
  <c r="B189" i="34"/>
  <c r="B263" i="34"/>
  <c r="B259" i="34"/>
  <c r="B255" i="34"/>
  <c r="B251" i="34"/>
  <c r="B218" i="34"/>
  <c r="B210" i="34"/>
  <c r="B203" i="34"/>
  <c r="B196" i="34"/>
  <c r="B192" i="34"/>
  <c r="B188" i="34"/>
  <c r="B262" i="34"/>
  <c r="B258" i="34"/>
  <c r="B254" i="34"/>
  <c r="B250" i="34"/>
  <c r="B213" i="34"/>
  <c r="B209" i="34"/>
  <c r="B202" i="34"/>
  <c r="B195" i="34"/>
  <c r="B191" i="34"/>
  <c r="B359" i="31"/>
  <c r="B358" i="31"/>
  <c r="B357" i="31"/>
  <c r="B356" i="31"/>
  <c r="B355" i="31"/>
  <c r="B354" i="31"/>
  <c r="B353" i="31"/>
  <c r="B352" i="31"/>
  <c r="B351" i="31"/>
  <c r="B350" i="31"/>
  <c r="B349" i="31"/>
  <c r="B348" i="31"/>
  <c r="B347" i="31"/>
  <c r="B346" i="31"/>
  <c r="B345" i="31"/>
  <c r="B344" i="31"/>
  <c r="B229" i="34" s="1"/>
  <c r="B343" i="31"/>
  <c r="B226" i="34" s="1"/>
  <c r="B342" i="31"/>
  <c r="B228" i="34" s="1"/>
  <c r="B341" i="31"/>
  <c r="B230" i="34" s="1"/>
  <c r="B340" i="31"/>
  <c r="B227" i="34" s="1"/>
  <c r="B339" i="31"/>
  <c r="B214" i="34" s="1"/>
  <c r="B338" i="31"/>
  <c r="B216" i="34" s="1"/>
  <c r="B337" i="31"/>
  <c r="B217" i="34" s="1"/>
  <c r="B336" i="31"/>
  <c r="B215" i="34" s="1"/>
  <c r="B335" i="31"/>
  <c r="B199" i="34" s="1"/>
  <c r="B334" i="31"/>
  <c r="B169" i="34" s="1"/>
  <c r="B333" i="31"/>
  <c r="B171" i="34" s="1"/>
  <c r="B332" i="31"/>
  <c r="B170" i="34" s="1"/>
  <c r="B331" i="31"/>
  <c r="B172" i="34" s="1"/>
  <c r="B330" i="31"/>
  <c r="B164" i="34" s="1"/>
  <c r="B151" i="31" l="1"/>
  <c r="B139" i="27" s="1"/>
  <c r="B152" i="31"/>
  <c r="B140" i="27" s="1"/>
  <c r="B153" i="31"/>
  <c r="B141" i="27" s="1"/>
  <c r="B154" i="31"/>
  <c r="B142" i="27" s="1"/>
  <c r="B155" i="31"/>
  <c r="B143" i="27" s="1"/>
  <c r="B156" i="31"/>
  <c r="B144" i="27" s="1"/>
  <c r="B157" i="31"/>
  <c r="B148" i="31"/>
  <c r="B136" i="27" s="1"/>
  <c r="B149" i="31"/>
  <c r="B137" i="27" s="1"/>
  <c r="B150" i="31"/>
  <c r="B138" i="27" s="1"/>
  <c r="B158" i="31"/>
  <c r="B159" i="31"/>
  <c r="B145" i="27" s="1"/>
  <c r="B160" i="31"/>
  <c r="B161" i="31"/>
  <c r="B146" i="27" s="1"/>
  <c r="B68" i="31" l="1"/>
  <c r="B91" i="31" l="1"/>
  <c r="A5" i="28" s="1"/>
  <c r="B92" i="31"/>
  <c r="B93" i="31"/>
  <c r="A7" i="28" s="1"/>
  <c r="B94" i="31"/>
  <c r="B95" i="31"/>
  <c r="A9" i="28" s="1"/>
  <c r="B96" i="31"/>
  <c r="B97" i="31"/>
  <c r="A11" i="28" s="1"/>
  <c r="B98" i="31"/>
  <c r="B99" i="31"/>
  <c r="A13" i="28" s="1"/>
  <c r="B100" i="31"/>
  <c r="B101" i="31"/>
  <c r="A15" i="28" s="1"/>
  <c r="B102" i="31"/>
  <c r="B103" i="31"/>
  <c r="B104" i="31"/>
  <c r="B9" i="31"/>
  <c r="C439" i="31"/>
  <c r="C440" i="31"/>
  <c r="C441" i="31"/>
  <c r="C442" i="31"/>
  <c r="C443" i="31"/>
  <c r="C444" i="31"/>
  <c r="C445" i="31"/>
  <c r="C446" i="31"/>
  <c r="C447" i="31"/>
  <c r="C448" i="31"/>
  <c r="C449" i="31"/>
  <c r="C450" i="31"/>
  <c r="C451" i="31"/>
  <c r="C452" i="31"/>
  <c r="C453" i="31"/>
  <c r="C438" i="31"/>
  <c r="C410" i="31"/>
  <c r="C411" i="31"/>
  <c r="C412" i="31"/>
  <c r="C413" i="31"/>
  <c r="C414" i="31"/>
  <c r="C415" i="31"/>
  <c r="C416" i="31"/>
  <c r="C417" i="31"/>
  <c r="C418" i="31"/>
  <c r="C419" i="31"/>
  <c r="C420" i="31"/>
  <c r="C421" i="31"/>
  <c r="C422" i="31"/>
  <c r="C423" i="31"/>
  <c r="C424" i="31"/>
  <c r="C425" i="31"/>
  <c r="C426" i="31"/>
  <c r="C427" i="31"/>
  <c r="C428" i="31"/>
  <c r="C429" i="31"/>
  <c r="C430" i="31"/>
  <c r="C431" i="31"/>
  <c r="C432" i="31"/>
  <c r="C433" i="31"/>
  <c r="C434" i="31"/>
  <c r="C435" i="31"/>
  <c r="C436" i="31"/>
  <c r="C491" i="31"/>
  <c r="C492" i="31"/>
  <c r="C493" i="31"/>
  <c r="C494" i="31"/>
  <c r="C490" i="31"/>
  <c r="C489" i="31"/>
  <c r="C486" i="31"/>
  <c r="C485" i="31"/>
  <c r="C482" i="31"/>
  <c r="C481" i="31"/>
  <c r="C478" i="31"/>
  <c r="C477" i="31"/>
  <c r="C474" i="31"/>
  <c r="C473" i="31"/>
  <c r="C470" i="31"/>
  <c r="C469" i="31"/>
  <c r="C466" i="31"/>
  <c r="C465" i="31"/>
  <c r="C462" i="31"/>
  <c r="C461" i="31"/>
  <c r="C457" i="31"/>
  <c r="C458" i="31"/>
  <c r="C408" i="31"/>
  <c r="C409" i="31"/>
  <c r="C437" i="31"/>
  <c r="C454" i="31"/>
  <c r="C455" i="31"/>
  <c r="C456" i="31"/>
  <c r="C459" i="31"/>
  <c r="C460" i="31"/>
  <c r="C463" i="31"/>
  <c r="C464" i="31"/>
  <c r="C467" i="31"/>
  <c r="C468" i="31"/>
  <c r="C471" i="31"/>
  <c r="C472" i="31"/>
  <c r="C475" i="31"/>
  <c r="C476" i="31"/>
  <c r="C479" i="31"/>
  <c r="C480" i="31"/>
  <c r="C483" i="31"/>
  <c r="C484" i="31"/>
  <c r="C487" i="31"/>
  <c r="C407" i="31"/>
  <c r="C488" i="31"/>
  <c r="F43" i="31"/>
  <c r="E43" i="31"/>
  <c r="C43" i="31"/>
  <c r="F87" i="31"/>
  <c r="E87" i="31"/>
  <c r="C87" i="31"/>
  <c r="G386" i="31"/>
  <c r="F386" i="31"/>
  <c r="E386" i="31"/>
  <c r="F112" i="31"/>
  <c r="E112" i="31"/>
  <c r="C112" i="31"/>
  <c r="B383" i="31"/>
  <c r="B382" i="31"/>
  <c r="B381" i="31"/>
  <c r="B32" i="31"/>
  <c r="B379" i="31"/>
  <c r="B378" i="31"/>
  <c r="B373" i="31"/>
  <c r="B372" i="31"/>
  <c r="B107" i="31"/>
  <c r="B106" i="31"/>
  <c r="B105" i="31"/>
  <c r="B90" i="31"/>
  <c r="E3" i="28" s="1"/>
  <c r="B89" i="31"/>
  <c r="A3" i="28" s="1"/>
  <c r="B88" i="31"/>
  <c r="A1" i="28" s="1"/>
  <c r="B365" i="31"/>
  <c r="B364" i="31"/>
  <c r="B363" i="31"/>
  <c r="B13" i="34"/>
  <c r="B124" i="31"/>
  <c r="B123" i="31"/>
  <c r="B122" i="31"/>
  <c r="B121" i="31"/>
  <c r="B120" i="31"/>
  <c r="B119" i="31"/>
  <c r="B118" i="31"/>
  <c r="B117" i="31"/>
  <c r="B116" i="31"/>
  <c r="B115" i="31"/>
  <c r="B114" i="31"/>
  <c r="B113" i="31"/>
  <c r="B44" i="31"/>
  <c r="B66" i="31"/>
  <c r="B69" i="31"/>
  <c r="B70" i="31"/>
  <c r="B71" i="31"/>
  <c r="B72" i="31"/>
  <c r="B82" i="31"/>
  <c r="B83" i="31"/>
  <c r="B84" i="31"/>
  <c r="B45" i="31"/>
  <c r="B6" i="31"/>
  <c r="B7" i="31"/>
  <c r="B8" i="31"/>
  <c r="B12" i="31"/>
  <c r="B13" i="31"/>
  <c r="B14" i="31"/>
  <c r="B15" i="31"/>
  <c r="B16" i="31"/>
  <c r="B17" i="31"/>
  <c r="B18" i="31"/>
  <c r="B22" i="31"/>
  <c r="B30" i="31"/>
  <c r="B31" i="31"/>
  <c r="B5" i="31"/>
  <c r="B37" i="31"/>
  <c r="B40" i="31"/>
  <c r="D158" i="27"/>
  <c r="D157" i="27"/>
  <c r="B36" i="31"/>
  <c r="B29" i="27" l="1"/>
  <c r="B43" i="27"/>
  <c r="B33" i="27"/>
  <c r="B47" i="27"/>
  <c r="B37" i="27"/>
  <c r="B51" i="27"/>
  <c r="B44" i="27"/>
  <c r="B30" i="27"/>
  <c r="B48" i="27"/>
  <c r="B34" i="27"/>
  <c r="B52" i="27"/>
  <c r="B38" i="27"/>
  <c r="B45" i="27"/>
  <c r="B31" i="27"/>
  <c r="B35" i="27"/>
  <c r="B49" i="27"/>
  <c r="B28" i="27"/>
  <c r="B42" i="27"/>
  <c r="B32" i="27"/>
  <c r="B46" i="27"/>
  <c r="B36" i="27"/>
  <c r="B50" i="27"/>
  <c r="F108" i="31"/>
  <c r="D375" i="31"/>
  <c r="D33" i="31"/>
  <c r="D39" i="31"/>
  <c r="D376" i="31"/>
  <c r="D34" i="31"/>
  <c r="D38" i="31"/>
  <c r="D35" i="31"/>
  <c r="E375" i="31"/>
  <c r="E33" i="31"/>
  <c r="A3" i="31"/>
  <c r="E38" i="31"/>
  <c r="A42" i="31"/>
  <c r="E376" i="31"/>
  <c r="E35" i="31"/>
  <c r="E34" i="31"/>
  <c r="E39" i="31"/>
  <c r="C375" i="31"/>
  <c r="B75" i="27"/>
  <c r="B89" i="27" s="1"/>
  <c r="B72" i="27"/>
  <c r="B86" i="27" s="1"/>
  <c r="B76" i="27"/>
  <c r="B90" i="27" s="1"/>
  <c r="B80" i="27"/>
  <c r="B94" i="27" s="1"/>
  <c r="B79" i="27"/>
  <c r="B93" i="27" s="1"/>
  <c r="B73" i="27"/>
  <c r="B87" i="27" s="1"/>
  <c r="B77" i="27"/>
  <c r="B91" i="27" s="1"/>
  <c r="B81" i="27"/>
  <c r="B95" i="27" s="1"/>
  <c r="B74" i="27"/>
  <c r="B88" i="27" s="1"/>
  <c r="B78" i="27"/>
  <c r="B92" i="27" s="1"/>
  <c r="B82" i="27"/>
  <c r="B96" i="27" s="1"/>
  <c r="F33" i="31"/>
  <c r="A86" i="31"/>
  <c r="C33" i="31"/>
  <c r="F375" i="31"/>
  <c r="B10" i="27"/>
  <c r="E158" i="27"/>
  <c r="B9" i="27"/>
  <c r="B15" i="27"/>
  <c r="B16" i="27"/>
  <c r="E156" i="27"/>
  <c r="E157" i="27"/>
  <c r="F39" i="31"/>
  <c r="F38" i="31"/>
  <c r="C35" i="31"/>
  <c r="C34" i="31"/>
  <c r="C39" i="31"/>
  <c r="C38" i="31"/>
  <c r="F376" i="31"/>
  <c r="C376" i="31"/>
  <c r="A17" i="28"/>
  <c r="B11" i="28"/>
  <c r="B17" i="28"/>
  <c r="B9" i="28"/>
  <c r="B15" i="28"/>
  <c r="B7" i="28"/>
  <c r="B13" i="28"/>
  <c r="B5" i="28"/>
  <c r="F34" i="31"/>
  <c r="F35" i="31"/>
  <c r="A19" i="28"/>
  <c r="K137" i="27" l="1"/>
  <c r="K145" i="27"/>
  <c r="K138" i="27"/>
  <c r="K146" i="27"/>
  <c r="K139" i="27"/>
  <c r="K136" i="27"/>
  <c r="K140" i="27"/>
  <c r="J146" i="27"/>
  <c r="M146" i="27" s="1"/>
  <c r="N146" i="27" s="1"/>
  <c r="J136" i="27"/>
  <c r="K141" i="27"/>
  <c r="K142" i="27"/>
  <c r="J144" i="27"/>
  <c r="K143" i="27"/>
  <c r="K144" i="27"/>
  <c r="J142" i="27"/>
  <c r="J140" i="27"/>
  <c r="M140" i="27" s="1"/>
  <c r="N140" i="27" s="1"/>
  <c r="J139" i="27"/>
  <c r="J143" i="27"/>
  <c r="J137" i="27"/>
  <c r="J145" i="27"/>
  <c r="M143" i="27"/>
  <c r="N143" i="27" s="1"/>
  <c r="J141" i="27"/>
  <c r="J138" i="27"/>
  <c r="B35" i="31"/>
  <c r="B375" i="31"/>
  <c r="B108" i="31"/>
  <c r="D19" i="28"/>
  <c r="B39" i="31"/>
  <c r="B33" i="31"/>
  <c r="B38" i="31"/>
  <c r="C101" i="27"/>
  <c r="B34" i="31"/>
  <c r="B376" i="31"/>
  <c r="E19" i="28"/>
  <c r="M144" i="27" l="1"/>
  <c r="N144" i="27" s="1"/>
  <c r="M137" i="27"/>
  <c r="N137" i="27" s="1"/>
  <c r="M138" i="27"/>
  <c r="N138" i="27" s="1"/>
  <c r="M142" i="27"/>
  <c r="N142" i="27" s="1"/>
  <c r="M139" i="27"/>
  <c r="N139" i="27" s="1"/>
  <c r="A21" i="28"/>
  <c r="M136" i="27"/>
  <c r="N136" i="27" s="1"/>
  <c r="M145" i="27"/>
  <c r="N145" i="27" s="1"/>
  <c r="M141" i="27"/>
  <c r="N141" i="27" s="1"/>
  <c r="E174" i="27"/>
  <c r="F174" i="27" s="1"/>
  <c r="E169" i="27"/>
  <c r="F169" i="27" s="1"/>
  <c r="E167" i="27"/>
  <c r="F167" i="27" s="1"/>
  <c r="E170" i="27"/>
  <c r="F170" i="27" s="1"/>
  <c r="E171" i="27"/>
  <c r="F171" i="27" s="1"/>
  <c r="E172" i="27"/>
  <c r="F172" i="27" s="1"/>
  <c r="E173" i="27"/>
  <c r="F173" i="27" s="1"/>
  <c r="E166" i="27"/>
  <c r="E168" i="27"/>
  <c r="F168" i="27" s="1"/>
  <c r="M147" i="27"/>
  <c r="N147" i="27" l="1"/>
  <c r="F166" i="27"/>
  <c r="E175" i="27"/>
  <c r="G114" i="27" l="1"/>
  <c r="G116" i="27"/>
  <c r="G115" i="27"/>
  <c r="E116" i="27"/>
  <c r="C115" i="27"/>
  <c r="F116" i="27"/>
  <c r="C116" i="27"/>
  <c r="D116" i="27"/>
  <c r="D114" i="27"/>
  <c r="F114" i="27"/>
  <c r="F115" i="27"/>
  <c r="C114" i="27"/>
  <c r="E115" i="27"/>
  <c r="E114" i="27"/>
  <c r="D115" i="27"/>
  <c r="C111" i="27"/>
  <c r="C109" i="27"/>
  <c r="C110" i="27"/>
  <c r="J113" i="27" a="1"/>
  <c r="J113" i="27" s="1"/>
  <c r="F175" i="27"/>
  <c r="D110" i="27"/>
  <c r="E109" i="27"/>
  <c r="F111" i="27"/>
  <c r="D109" i="27"/>
  <c r="E111" i="27"/>
  <c r="F110" i="27"/>
  <c r="D111" i="27"/>
  <c r="E110" i="27"/>
  <c r="F109" i="27"/>
  <c r="G111" i="27"/>
  <c r="G110" i="27"/>
  <c r="G109" i="27"/>
  <c r="J108" i="27" l="1" a="1"/>
  <c r="J108" i="27" s="1"/>
  <c r="B64" i="31" l="1"/>
  <c r="B63" i="31"/>
  <c r="B65" i="31"/>
  <c r="B62"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Severin Lenel</author>
  </authors>
  <commentList>
    <comment ref="A381" authorId="0" shapeId="0" xr:uid="{00000000-0006-0000-0400-000001000000}">
      <text>
        <r>
          <rPr>
            <b/>
            <sz val="9"/>
            <color indexed="81"/>
            <rFont val="Tahoma"/>
            <family val="2"/>
          </rPr>
          <t>Achtung:</t>
        </r>
        <r>
          <rPr>
            <sz val="9"/>
            <color indexed="81"/>
            <rFont val="Tahoma"/>
            <family val="2"/>
          </rPr>
          <t xml:space="preserve">
Die Namen der Tabellen Fenster und Tageslicht dürfen keine Leerzeichen enthalten.</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<sst xmlns="http://schemas.openxmlformats.org/spreadsheetml/2006/main" count="5238" uniqueCount="2435">
  <si>
    <t>Architekt</t>
  </si>
  <si>
    <t>Ersteller Nachweis</t>
  </si>
  <si>
    <t>Restaurant</t>
  </si>
  <si>
    <t>Schule</t>
  </si>
  <si>
    <t>Neubau</t>
  </si>
  <si>
    <t>Bauherr</t>
  </si>
  <si>
    <t>Projekt-Typ</t>
  </si>
  <si>
    <t>Modernisierung</t>
  </si>
  <si>
    <t>Objektdaten</t>
  </si>
  <si>
    <t>Name</t>
  </si>
  <si>
    <t>New Construction</t>
  </si>
  <si>
    <t>Renovation</t>
  </si>
  <si>
    <t>Sie müssen einen Eintrag aus der Liste wählen.</t>
  </si>
  <si>
    <t>Deutsch</t>
  </si>
  <si>
    <t>Italiano</t>
  </si>
  <si>
    <t>English</t>
  </si>
  <si>
    <t>Projektbezeichnung</t>
  </si>
  <si>
    <t>Fragen</t>
  </si>
  <si>
    <t>Antwort</t>
  </si>
  <si>
    <t>Nein</t>
  </si>
  <si>
    <t>Ja</t>
  </si>
  <si>
    <t>Verwaltung</t>
  </si>
  <si>
    <t>Fenster</t>
  </si>
  <si>
    <t>Bezeichnung</t>
  </si>
  <si>
    <t>Bewertungsskala</t>
  </si>
  <si>
    <t>Gut</t>
  </si>
  <si>
    <t>Befriedigend</t>
  </si>
  <si>
    <t>Ungenügend</t>
  </si>
  <si>
    <t>Version</t>
  </si>
  <si>
    <t>Zusammenfassung der Ergebnisse</t>
  </si>
  <si>
    <t>m2</t>
  </si>
  <si>
    <t>Kurzanleitung</t>
  </si>
  <si>
    <t>gut erfüllt</t>
  </si>
  <si>
    <t>erfüllt</t>
  </si>
  <si>
    <t>nicht erfüllt</t>
  </si>
  <si>
    <t>Konstanten</t>
  </si>
  <si>
    <t>Texte</t>
  </si>
  <si>
    <t>ID</t>
  </si>
  <si>
    <t>Gewählt</t>
  </si>
  <si>
    <t>A3</t>
  </si>
  <si>
    <t>A1</t>
  </si>
  <si>
    <t>A5</t>
  </si>
  <si>
    <t>A8</t>
  </si>
  <si>
    <t>A11</t>
  </si>
  <si>
    <t>A17</t>
  </si>
  <si>
    <t>A30</t>
  </si>
  <si>
    <t>A39</t>
  </si>
  <si>
    <t>A40</t>
  </si>
  <si>
    <t>A41</t>
  </si>
  <si>
    <t>A42</t>
  </si>
  <si>
    <t>A43</t>
  </si>
  <si>
    <t>A44</t>
  </si>
  <si>
    <t>A45</t>
  </si>
  <si>
    <t>Francais</t>
  </si>
  <si>
    <t>Auswahlfelder und Textkonstanten</t>
  </si>
  <si>
    <t>Bewertung</t>
  </si>
  <si>
    <t>E3</t>
  </si>
  <si>
    <t>A7</t>
  </si>
  <si>
    <t>A9</t>
  </si>
  <si>
    <t>A13</t>
  </si>
  <si>
    <t>A19</t>
  </si>
  <si>
    <t>A21</t>
  </si>
  <si>
    <t>Projekttyp</t>
  </si>
  <si>
    <t>Bemerkung Typ</t>
  </si>
  <si>
    <t>JaNein</t>
  </si>
  <si>
    <t>Projet</t>
  </si>
  <si>
    <t>Type de projet</t>
  </si>
  <si>
    <t>Maître de l'ouvrage</t>
  </si>
  <si>
    <t>Architecte</t>
  </si>
  <si>
    <t>sont remplies</t>
  </si>
  <si>
    <t>ne sont pas remplies</t>
  </si>
  <si>
    <t>sont bien remplies</t>
  </si>
  <si>
    <t>Réponse</t>
  </si>
  <si>
    <t xml:space="preserve">Eine ausführliche Anleitung finden Sie auf der Minergie-Website.  </t>
  </si>
  <si>
    <t>Non</t>
  </si>
  <si>
    <t>Oui</t>
  </si>
  <si>
    <t>Progetto</t>
  </si>
  <si>
    <t>Tipo d'intervento</t>
  </si>
  <si>
    <t>Architetto</t>
  </si>
  <si>
    <t>Autore verifica</t>
  </si>
  <si>
    <t>Riassunto</t>
  </si>
  <si>
    <t>Istruzioni dettagliate possono essere trovate sul sito web Minergie.</t>
  </si>
  <si>
    <t>Object data</t>
  </si>
  <si>
    <t>Project</t>
  </si>
  <si>
    <t>Project type</t>
  </si>
  <si>
    <t>Costruttore</t>
  </si>
  <si>
    <t>Architect</t>
  </si>
  <si>
    <t>Overview</t>
  </si>
  <si>
    <t>Quick guide</t>
  </si>
  <si>
    <t>Detailed instructions are available on the Minergie website</t>
  </si>
  <si>
    <t>Domande</t>
  </si>
  <si>
    <t>Risposte</t>
  </si>
  <si>
    <t>QUESTO FOGLIO DEVE ESSERE COMPLETATO UNICAMENTE IN CASO DI AMMODERNAMENTO</t>
  </si>
  <si>
    <t>Questionnaire for renovations</t>
  </si>
  <si>
    <t>Question</t>
  </si>
  <si>
    <t>Answer</t>
  </si>
  <si>
    <t>THIS SHEET IS ONLY FOR RENOVATIONS</t>
  </si>
  <si>
    <t>Ammodernamento</t>
  </si>
  <si>
    <t>No</t>
  </si>
  <si>
    <t>Überblick</t>
  </si>
  <si>
    <t>Résumé</t>
  </si>
  <si>
    <t>Yes</t>
  </si>
  <si>
    <t>Author of verification</t>
  </si>
  <si>
    <t>Eingabemeldungen</t>
  </si>
  <si>
    <t>Wert1</t>
  </si>
  <si>
    <t>Wert2</t>
  </si>
  <si>
    <t>Wert3</t>
  </si>
  <si>
    <t>Wert4</t>
  </si>
  <si>
    <t>Resultat</t>
  </si>
  <si>
    <t>Résultat</t>
  </si>
  <si>
    <t>Risultato</t>
  </si>
  <si>
    <t>Result</t>
  </si>
  <si>
    <t>Fläche</t>
  </si>
  <si>
    <t>Tabelle</t>
  </si>
  <si>
    <t>Adresse</t>
  </si>
  <si>
    <t>Fehler</t>
  </si>
  <si>
    <t>Bitte beachten Sie die beim Anklicken der Eingabefelder erscheinenden Hilfstexte.</t>
  </si>
  <si>
    <t>Bei Fragen zu Zertifizierungsobjekten steht Ihnen die zuständige Zertifizierungsstelle gerne zur Verfügung.</t>
  </si>
  <si>
    <t>Erfassen Sie zuerst die Objektdaten in diesem Blatt.</t>
  </si>
  <si>
    <t>Errore</t>
  </si>
  <si>
    <t>È necessario selezionare una voce dall' elenco.</t>
  </si>
  <si>
    <t>Superficie</t>
  </si>
  <si>
    <t>Se avete domande sugli oggetti di certificazione, contattate il centro di certificazione competente.</t>
  </si>
  <si>
    <t>First, fill out the fileds for the object data in this sheet.</t>
  </si>
  <si>
    <t>Please consider the help texts which appear as soon as you click on a cell.</t>
  </si>
  <si>
    <t>If you have questions on certified objects, don't hesitate to ask the staff of the certification offices.</t>
  </si>
  <si>
    <t>Error</t>
  </si>
  <si>
    <t>Password</t>
  </si>
  <si>
    <t>Sprachwahl</t>
  </si>
  <si>
    <t>Intep01</t>
  </si>
  <si>
    <t>Erreur</t>
  </si>
  <si>
    <t>Surface</t>
  </si>
  <si>
    <t>You must select an element from the list.</t>
  </si>
  <si>
    <t>Area</t>
  </si>
  <si>
    <t>well fulfilled</t>
  </si>
  <si>
    <t>fulfilled</t>
  </si>
  <si>
    <t>not met</t>
  </si>
  <si>
    <t>Fragenkatalog_Modernisierung</t>
  </si>
  <si>
    <t>Questionario_ammodernamento</t>
  </si>
  <si>
    <t>Questionaire_renovations</t>
  </si>
  <si>
    <t>Gebäudekategorie</t>
  </si>
  <si>
    <t>A16</t>
  </si>
  <si>
    <t>A27</t>
  </si>
  <si>
    <t>A29</t>
  </si>
  <si>
    <t>A35</t>
  </si>
  <si>
    <t>A37</t>
  </si>
  <si>
    <t>Tool Graue Energie Minergie-Eco®</t>
  </si>
  <si>
    <t>Wohnen MFH</t>
  </si>
  <si>
    <t>Verkauf</t>
  </si>
  <si>
    <t>Spital</t>
  </si>
  <si>
    <t>Industrie</t>
  </si>
  <si>
    <t>Sportbauten</t>
  </si>
  <si>
    <t>GW1</t>
  </si>
  <si>
    <t>GW2</t>
  </si>
  <si>
    <t>A15</t>
  </si>
  <si>
    <t>Das Objekt ist ein Wohngebäude mit einer Energiebezugsfläche von weniger als 5'000 m2 oder ein anderer Gebäudetyp mit einer Energiebezugsfläche von weniger als 2'000 m2.</t>
  </si>
  <si>
    <t>Der überwiegende Teil der bestehenden Bauteile werden beibehalten (keine Auskernung, kein Rückbau auf den Rohbau).</t>
  </si>
  <si>
    <t>Die Kompaktheit des Gebäudes (Verhältnis zwischen thermischer Hüllfläche Ath und Energie-bezugsfläche AE) ist gleich geblieben oder hat sich verbessert.</t>
  </si>
  <si>
    <t>Die tragenden Bauteile des Gebäudes wurden nicht verändert (ausgenommen sind einzelne Durchbrüche bis 3 m2 Fläche in tragenden Wänden sowie Verstärkungen zur Erdbebenertüchtigung).</t>
  </si>
  <si>
    <t>B5</t>
  </si>
  <si>
    <t>B7</t>
  </si>
  <si>
    <t>B9</t>
  </si>
  <si>
    <t>B11</t>
  </si>
  <si>
    <t>B13</t>
  </si>
  <si>
    <t>B15</t>
  </si>
  <si>
    <t>B17</t>
  </si>
  <si>
    <t>Objektgrösse</t>
  </si>
  <si>
    <t>Kompaktheit</t>
  </si>
  <si>
    <t>Eingriffstiefe</t>
  </si>
  <si>
    <t>Konstruktion Aussenwände über Terrain und Dach</t>
  </si>
  <si>
    <t>Erweiterungen</t>
  </si>
  <si>
    <t>Anpassung Tragstruktur</t>
  </si>
  <si>
    <t xml:space="preserve">Erdsonde  </t>
  </si>
  <si>
    <t>Anzahl Stockwerke unbeheizt</t>
  </si>
  <si>
    <t>Anzahl Stockwerke unter Terrain</t>
  </si>
  <si>
    <t>Berechnung</t>
  </si>
  <si>
    <t>Allgemeine Angaben</t>
  </si>
  <si>
    <t>Energiebezugsfläche</t>
  </si>
  <si>
    <t>Geschossfläche</t>
  </si>
  <si>
    <t>eBKP-H</t>
  </si>
  <si>
    <t>m</t>
  </si>
  <si>
    <t>Geschossfläche in Untergeschossen</t>
  </si>
  <si>
    <t>Bauteile und Gebäudetechnik</t>
  </si>
  <si>
    <t>Bauteil-Bezeichnung</t>
  </si>
  <si>
    <t>C13</t>
  </si>
  <si>
    <t>Link</t>
  </si>
  <si>
    <t>THGE
kg/m2</t>
  </si>
  <si>
    <t>B Vorbereitung</t>
  </si>
  <si>
    <t>C1 Bodenplatte, Fundament</t>
  </si>
  <si>
    <t>C2.1 Aussenwandkonstruktion u.T</t>
  </si>
  <si>
    <t>C2.1 Aussenwandkonstruktion ü.T</t>
  </si>
  <si>
    <t>C2.2 Innenwandkonstruktion</t>
  </si>
  <si>
    <t>C4.1 Decke</t>
  </si>
  <si>
    <t>C4.3 Balkon</t>
  </si>
  <si>
    <t>C4.4 Dachkonstruktion</t>
  </si>
  <si>
    <t>D Technik Gebäude</t>
  </si>
  <si>
    <t>E1 Äussere Wandbekleidung u.T.</t>
  </si>
  <si>
    <t>E2 Äussere Wandbekleidung ü.T.</t>
  </si>
  <si>
    <t>E3 Einbauten zu Aussenwand</t>
  </si>
  <si>
    <t>F Bedachung Gebäude</t>
  </si>
  <si>
    <t>G Ausbau Gebäude</t>
  </si>
  <si>
    <t>Verwenden Sie dazu die Flächenauszüge und Bauteile aus der Energieberechnung (falls vorhanden).</t>
  </si>
  <si>
    <t>Code BTK</t>
  </si>
  <si>
    <t>BKPshort</t>
  </si>
  <si>
    <t>Bauteile Neubau</t>
  </si>
  <si>
    <t>Bauteile Modernisierung</t>
  </si>
  <si>
    <t>BKP_B</t>
  </si>
  <si>
    <t>BKP_C1</t>
  </si>
  <si>
    <t>BKP_C211</t>
  </si>
  <si>
    <t>BKP_C212</t>
  </si>
  <si>
    <t>BKP_C22</t>
  </si>
  <si>
    <t>BKP_C41</t>
  </si>
  <si>
    <t>BKP_C43</t>
  </si>
  <si>
    <t>BKP_C44</t>
  </si>
  <si>
    <t>BKP_D</t>
  </si>
  <si>
    <t>BKP_E3</t>
  </si>
  <si>
    <t>BKP_G</t>
  </si>
  <si>
    <t>Energiestandard</t>
  </si>
  <si>
    <t>Minergie-P/-A</t>
  </si>
  <si>
    <t>MuKEn/Minergie</t>
  </si>
  <si>
    <t>ListEnStandard</t>
  </si>
  <si>
    <t>ListProjekttyp</t>
  </si>
  <si>
    <t>BauteileNew</t>
  </si>
  <si>
    <t>BauteileRen</t>
  </si>
  <si>
    <t>Dummy RD30</t>
  </si>
  <si>
    <t>Dummy RD31</t>
  </si>
  <si>
    <t>Dummy RD32</t>
  </si>
  <si>
    <t>Dummy RD33</t>
  </si>
  <si>
    <t>Dummy RD34</t>
  </si>
  <si>
    <t>Dummy RD35</t>
  </si>
  <si>
    <t>AutoAusmass</t>
  </si>
  <si>
    <t>PEne
kWh/m2</t>
  </si>
  <si>
    <t>Bezugsgrösse</t>
  </si>
  <si>
    <t>Einheit</t>
  </si>
  <si>
    <t>Graue Energie</t>
  </si>
  <si>
    <t>Treibhausgasemissionenen</t>
  </si>
  <si>
    <t>Herstellung [kWh]</t>
  </si>
  <si>
    <t>Entsorgung [kWh]</t>
  </si>
  <si>
    <t>Umweltbelastungspunkte</t>
  </si>
  <si>
    <t>Erstellung pro Jahr [UBP/a]</t>
  </si>
  <si>
    <t>Herstellung [UBP]</t>
  </si>
  <si>
    <t>Entsorgung [UBP]</t>
  </si>
  <si>
    <t>BTF</t>
  </si>
  <si>
    <t>m3</t>
  </si>
  <si>
    <t>Gebäudetechnik</t>
  </si>
  <si>
    <t>Wohnen</t>
  </si>
  <si>
    <t>EBF</t>
  </si>
  <si>
    <t>kWp</t>
  </si>
  <si>
    <t>Wärmeerzeugung</t>
  </si>
  <si>
    <t>N_BKP_B</t>
  </si>
  <si>
    <t>N_BKP_C1</t>
  </si>
  <si>
    <t>N_BKP_C211</t>
  </si>
  <si>
    <t>N_BKP_C212</t>
  </si>
  <si>
    <t>N_BKP_C22</t>
  </si>
  <si>
    <t>N_BKP_C41</t>
  </si>
  <si>
    <t>N_BKP_C44</t>
  </si>
  <si>
    <t>N_BKP_D</t>
  </si>
  <si>
    <t>N_BKP_E3</t>
  </si>
  <si>
    <t>R_BKP_C44</t>
  </si>
  <si>
    <t>R_BKP_C212</t>
  </si>
  <si>
    <t>R_BKP_C41</t>
  </si>
  <si>
    <t>R_BKP_C1</t>
  </si>
  <si>
    <t>BKPshortN</t>
  </si>
  <si>
    <t>BKPshortR</t>
  </si>
  <si>
    <t>AusmassName</t>
  </si>
  <si>
    <t>AusmAushub</t>
  </si>
  <si>
    <t>AusmIW</t>
  </si>
  <si>
    <t>AusmDecke</t>
  </si>
  <si>
    <t>AusmTech</t>
  </si>
  <si>
    <t>CodeAuswertung</t>
  </si>
  <si>
    <t>Huelle</t>
  </si>
  <si>
    <t>Innen</t>
  </si>
  <si>
    <t>Erstellung p.a. [kWh/a]</t>
  </si>
  <si>
    <r>
      <t>Erstellung p.a. [kg CO</t>
    </r>
    <r>
      <rPr>
        <vertAlign val="subscript"/>
        <sz val="10"/>
        <color theme="0"/>
        <rFont val="Arial"/>
        <family val="2"/>
      </rPr>
      <t>2</t>
    </r>
    <r>
      <rPr>
        <sz val="10"/>
        <color theme="0"/>
        <rFont val="Arial"/>
        <family val="2"/>
      </rPr>
      <t>-eq./a]</t>
    </r>
  </si>
  <si>
    <r>
      <t>Herstellung [kg CO</t>
    </r>
    <r>
      <rPr>
        <vertAlign val="subscript"/>
        <sz val="10"/>
        <color theme="0"/>
        <rFont val="Arial"/>
        <family val="2"/>
      </rPr>
      <t>2</t>
    </r>
    <r>
      <rPr>
        <sz val="10"/>
        <color theme="0"/>
        <rFont val="Arial"/>
        <family val="2"/>
      </rPr>
      <t>-eq.]</t>
    </r>
  </si>
  <si>
    <r>
      <t>Entsorgung [kg CO</t>
    </r>
    <r>
      <rPr>
        <vertAlign val="subscript"/>
        <sz val="10"/>
        <color theme="0"/>
        <rFont val="Arial"/>
        <family val="2"/>
      </rPr>
      <t>2</t>
    </r>
    <r>
      <rPr>
        <sz val="10"/>
        <color theme="0"/>
        <rFont val="Arial"/>
        <family val="2"/>
      </rPr>
      <t>-eq.]</t>
    </r>
  </si>
  <si>
    <t>Amorti-</t>
  </si>
  <si>
    <t>sation [a]</t>
  </si>
  <si>
    <t>Datum, Unterschrift</t>
  </si>
  <si>
    <t>Data, firma</t>
  </si>
  <si>
    <t>Date, signature</t>
  </si>
  <si>
    <t>Bauphysiker</t>
  </si>
  <si>
    <t>Building Sciences</t>
  </si>
  <si>
    <t>A18</t>
  </si>
  <si>
    <t>A24</t>
  </si>
  <si>
    <t>A46</t>
  </si>
  <si>
    <t>A47</t>
  </si>
  <si>
    <t>Angestrebtes Zertifikat</t>
  </si>
  <si>
    <t>ListCert</t>
  </si>
  <si>
    <t>MINERGIE-ECO</t>
  </si>
  <si>
    <t>SIA Effizienzpfad Energie</t>
  </si>
  <si>
    <t>Kein Standard</t>
  </si>
  <si>
    <t>Projektwerte</t>
  </si>
  <si>
    <t>D30</t>
  </si>
  <si>
    <t>A34</t>
  </si>
  <si>
    <t>E30</t>
  </si>
  <si>
    <t>Der Richtwert Graue Energie Erstellung gemäss SIA Effizienzpfad Energie ist</t>
  </si>
  <si>
    <t>Der Richtwert Treibhausgasemissionen Erstellung gemäss SIA Effizienzpfad Energie ist</t>
  </si>
  <si>
    <r>
      <t>THGE
kg/m</t>
    </r>
    <r>
      <rPr>
        <vertAlign val="superscript"/>
        <sz val="10"/>
        <rFont val="Arial"/>
        <family val="2"/>
      </rPr>
      <t>2</t>
    </r>
    <r>
      <rPr>
        <sz val="10"/>
        <rFont val="Arial"/>
        <family val="2"/>
      </rPr>
      <t>a</t>
    </r>
  </si>
  <si>
    <r>
      <t>PEne (Graue En.)
kWh/m</t>
    </r>
    <r>
      <rPr>
        <vertAlign val="superscript"/>
        <sz val="10"/>
        <rFont val="Arial"/>
        <family val="2"/>
      </rPr>
      <t>2</t>
    </r>
    <r>
      <rPr>
        <sz val="10"/>
        <rFont val="Arial"/>
        <family val="2"/>
      </rPr>
      <t>a</t>
    </r>
  </si>
  <si>
    <t>Die Anforderung von Minergie-Eco an die Graue Energie ist</t>
  </si>
  <si>
    <t>Übertrag aus anderen Rechenblättern</t>
  </si>
  <si>
    <t>A6</t>
  </si>
  <si>
    <t>A10</t>
  </si>
  <si>
    <t>Wert5</t>
  </si>
  <si>
    <t>Wert6</t>
  </si>
  <si>
    <t>Wert7</t>
  </si>
  <si>
    <t>SNBS_GWPE</t>
  </si>
  <si>
    <t>SNBS_GWTH</t>
  </si>
  <si>
    <t>EffiPfad_GWPE</t>
  </si>
  <si>
    <t>Fachgeschäft</t>
  </si>
  <si>
    <t>Lebensmittelgeschäft</t>
  </si>
  <si>
    <t>EffiPfad_GWTH</t>
  </si>
  <si>
    <t>ListEcoKat</t>
  </si>
  <si>
    <t>ListSNBSkat</t>
  </si>
  <si>
    <t>ListEffiPfadKat</t>
  </si>
  <si>
    <t>Grundrisstyp</t>
  </si>
  <si>
    <t>ListIWtyp</t>
  </si>
  <si>
    <r>
      <t>L</t>
    </r>
    <r>
      <rPr>
        <b/>
        <vertAlign val="subscript"/>
        <sz val="10"/>
        <rFont val="DIN-Regular"/>
        <family val="2"/>
      </rPr>
      <t xml:space="preserve">SIW  </t>
    </r>
    <r>
      <rPr>
        <b/>
        <sz val="10"/>
        <rFont val="DIN-Regular"/>
        <family val="2"/>
      </rPr>
      <t>[m/m</t>
    </r>
    <r>
      <rPr>
        <b/>
        <vertAlign val="superscript"/>
        <sz val="10"/>
        <rFont val="DIN-Regular"/>
        <family val="2"/>
      </rPr>
      <t>2</t>
    </r>
    <r>
      <rPr>
        <b/>
        <sz val="10"/>
        <rFont val="DIN-Regular"/>
        <family val="2"/>
      </rPr>
      <t>]</t>
    </r>
  </si>
  <si>
    <t>MxIWausmass</t>
  </si>
  <si>
    <t>Innenwandmenge</t>
  </si>
  <si>
    <t>Museen</t>
  </si>
  <si>
    <t>Kleine Schulbauten</t>
  </si>
  <si>
    <t>Kleine Wohnbauten</t>
  </si>
  <si>
    <t>Energiestandard Gebäude</t>
  </si>
  <si>
    <t>Grenzwerte</t>
  </si>
  <si>
    <t>Keine Grenzwerte definiert</t>
  </si>
  <si>
    <t>Zielwert</t>
  </si>
  <si>
    <t>Keine Anforderung bezüglich Grauer Energie</t>
  </si>
  <si>
    <t>Keine Anforderung bezüglich Treibhausgasemissionen</t>
  </si>
  <si>
    <t>A14</t>
  </si>
  <si>
    <t>Falsche Gebäudekategorie - bitte neu auswählen</t>
  </si>
  <si>
    <t>Geb.Kat. ECO</t>
  </si>
  <si>
    <t>Geb.Kat. SNBS</t>
  </si>
  <si>
    <t>Geb.Kat. EffiPfad</t>
  </si>
  <si>
    <t>Fehler in Eingabefeld</t>
  </si>
  <si>
    <t>OK</t>
  </si>
  <si>
    <t>G3</t>
  </si>
  <si>
    <t>Mittlere Raumhöhe</t>
  </si>
  <si>
    <t>Photovoltaik-Anlage (Absorberfläche)</t>
  </si>
  <si>
    <t>Neubau in MJ/m2a</t>
  </si>
  <si>
    <t>Bauteil</t>
  </si>
  <si>
    <t>Sanitäranlagen</t>
  </si>
  <si>
    <t>Lüftung</t>
  </si>
  <si>
    <t>Wärmeverteilung</t>
  </si>
  <si>
    <t>Wärmeabgabe</t>
  </si>
  <si>
    <t>Elektroanlagen</t>
  </si>
  <si>
    <t>Wert8</t>
  </si>
  <si>
    <t>Wert9</t>
  </si>
  <si>
    <t>Wert10</t>
  </si>
  <si>
    <t>Wert11</t>
  </si>
  <si>
    <t>Neubau kWh/m2a</t>
  </si>
  <si>
    <t>Umbau kWh/m2a</t>
  </si>
  <si>
    <t>G5</t>
  </si>
  <si>
    <t>G6</t>
  </si>
  <si>
    <t>G7</t>
  </si>
  <si>
    <t>G10</t>
  </si>
  <si>
    <t>G8</t>
  </si>
  <si>
    <t>C5</t>
  </si>
  <si>
    <t>C6</t>
  </si>
  <si>
    <t>C7</t>
  </si>
  <si>
    <t>C8</t>
  </si>
  <si>
    <t>C9</t>
  </si>
  <si>
    <t>C10</t>
  </si>
  <si>
    <t>Gebäude</t>
  </si>
  <si>
    <t>Flächen</t>
  </si>
  <si>
    <t>Geschosse</t>
  </si>
  <si>
    <t>B43</t>
  </si>
  <si>
    <t>C11</t>
  </si>
  <si>
    <t>G11</t>
  </si>
  <si>
    <t>C12</t>
  </si>
  <si>
    <t>Lüftungsanlage ersetzt oder neu?</t>
  </si>
  <si>
    <t>Sanitäranlage ersetzt oder neu?</t>
  </si>
  <si>
    <t>Elektroanlagen ersetzt oder neu?</t>
  </si>
  <si>
    <t>Wärmeerzeugung ersetzt oder neu?</t>
  </si>
  <si>
    <t>Wärmeverteilung ersetzt oder neu?</t>
  </si>
  <si>
    <t>Wärmeabgabe ersetzt oder neu?</t>
  </si>
  <si>
    <t>G12</t>
  </si>
  <si>
    <t>C14</t>
  </si>
  <si>
    <t>G13</t>
  </si>
  <si>
    <t>C17</t>
  </si>
  <si>
    <t>H17</t>
  </si>
  <si>
    <t>I17</t>
  </si>
  <si>
    <t>J17</t>
  </si>
  <si>
    <t>K17</t>
  </si>
  <si>
    <t>L17</t>
  </si>
  <si>
    <t>B44</t>
  </si>
  <si>
    <t>Therm. Solaranlage (Absorberfläche)</t>
  </si>
  <si>
    <t>Boden beheizt geg. unbeh./Erdreich</t>
  </si>
  <si>
    <t>Bitte füllen Sie diesen Fragebogen vollständig aus.</t>
  </si>
  <si>
    <t>Für die nicht von einer Sanierung betroffenen Bauteile müssen in jedem BKPshort-Bereich Bauteile mit 0er Werten vorhanden sein.</t>
  </si>
  <si>
    <t>E37</t>
  </si>
  <si>
    <t>E5:E5</t>
  </si>
  <si>
    <t>E6:E6</t>
  </si>
  <si>
    <t>E7:E7</t>
  </si>
  <si>
    <t>E8:E8</t>
  </si>
  <si>
    <t>E9:E9</t>
  </si>
  <si>
    <t>E10:E10</t>
  </si>
  <si>
    <t>E11:E11</t>
  </si>
  <si>
    <t>E12:E12</t>
  </si>
  <si>
    <t>E13:E13</t>
  </si>
  <si>
    <t>E14:E14</t>
  </si>
  <si>
    <t>B18:B42</t>
  </si>
  <si>
    <t>H18:H42</t>
  </si>
  <si>
    <t>I18:I42</t>
  </si>
  <si>
    <t>Wählen Sie den angestrebten Energiestandard aus.</t>
  </si>
  <si>
    <t>Bitte geben Sie die EBF des Gebäudes ein.</t>
  </si>
  <si>
    <t>Die EBF muss zwischen 0 und 200'000 m2 liegen.</t>
  </si>
  <si>
    <t>Geben Sie die Fläche ein.</t>
  </si>
  <si>
    <t>Stockwerke unbeheizt</t>
  </si>
  <si>
    <t>Geben Sie die Anzahl der unbeheizten Geschosse ein (Dezimalzahlen sind erlaubt).</t>
  </si>
  <si>
    <t>Sie müssen Werte zwischen 0 und 20 eingeben.</t>
  </si>
  <si>
    <t>Geben Sie die mittlere Raumhöhe über alle beheizten Geschosse ein.</t>
  </si>
  <si>
    <t>PV-Anlage</t>
  </si>
  <si>
    <t>Geben Sie die Nettofläche der PV-Absorber ein.</t>
  </si>
  <si>
    <t>Sie müssen Werte zwischen 0 und der 2.5-fachen Geschossfläche eingeben.</t>
  </si>
  <si>
    <t>Ersonden</t>
  </si>
  <si>
    <t>Wählen Sie Ja, falls Erdsonden neu verlegt oder ersetzt werden.</t>
  </si>
  <si>
    <t>Wählen Sie Ja, wenn die Elektroinstallationen mehrheitlich ersetzt oder neu eingebaut werden.</t>
  </si>
  <si>
    <t>Wählen Sie Ja, wenn die Lüftungsanlagen mehrheitlich ersetzt oder neu eingebaut werden.</t>
  </si>
  <si>
    <t>Lüftungsanlagen</t>
  </si>
  <si>
    <t>Wärmeverteilungen</t>
  </si>
  <si>
    <t>Wählen Sie Ja, wenn die Wärmeverteilungen mehrheitlich ersetzt oder neu erstellt werden.</t>
  </si>
  <si>
    <t>Wählen Sie den am besten zutreffenden Grundriss-Typ aus der Liste.</t>
  </si>
  <si>
    <t>Geben Sie die Geschossfläche (inkl. unbeheizte Flächen im Gebäude) ein.</t>
  </si>
  <si>
    <t>Sie müssen Werte zwischen 0 und 300'000 eingeben.</t>
  </si>
  <si>
    <t>Geben Sie die Geschossfläche in den UG's ein.</t>
  </si>
  <si>
    <t>Sie müssen Werte zwischen 0 und dem Wert der Geschossfläche eingeben.</t>
  </si>
  <si>
    <t>Stockwerke unter Terrain</t>
  </si>
  <si>
    <t>Geben Sie die Anzahl der Geschosse unter Terrain ein (Dezimalzahlen sind erlaubt).</t>
  </si>
  <si>
    <t>Sie müssen Werte zwischen 0 und 10 eingeben.</t>
  </si>
  <si>
    <t>Thermische Solaranlage</t>
  </si>
  <si>
    <t>Geben Sie die Nettofläche der Absorber ein.</t>
  </si>
  <si>
    <t>Wählen Sie Ja, wenn die Wärmeerzeugung mehrheitlich ersetzt oder neu eingebaut wird.</t>
  </si>
  <si>
    <t>Wählen Sie Ja, wenn die Wärmeabgabe (Heizkörper etc.) mehrheitlich ersetzt oder neu eingebaut wird.</t>
  </si>
  <si>
    <t>Wählen Sie Ja, wenn die Sanitäranlagen mehrheitlich ersetzt oder neu eingebaut werden.</t>
  </si>
  <si>
    <t>Wählen Sie die entsprechende Kategorie des eBK-H aus der Liste.</t>
  </si>
  <si>
    <t>Wählen Sie einen Energiestandard aus der Liste.</t>
  </si>
  <si>
    <t>Sie müssen ganzzahlige Werte zwischen 0 und 99'999 eingeben.</t>
  </si>
  <si>
    <t>You must enter values between 0 and 99'999.</t>
  </si>
  <si>
    <t>Faktor</t>
  </si>
  <si>
    <t>Minergie-P</t>
  </si>
  <si>
    <t>Ergebnis</t>
  </si>
  <si>
    <t>Sie müssen Werte zwischen 0 und der EBF eingeben.</t>
  </si>
  <si>
    <t>FaktorMEP</t>
  </si>
  <si>
    <t>Ws02</t>
  </si>
  <si>
    <t>Ws01</t>
  </si>
  <si>
    <t>Ws03</t>
  </si>
  <si>
    <t>Ws26</t>
  </si>
  <si>
    <t>Ds01</t>
  </si>
  <si>
    <t>Ds02</t>
  </si>
  <si>
    <t>Ds05</t>
  </si>
  <si>
    <t>Ds10</t>
  </si>
  <si>
    <t>Ds14</t>
  </si>
  <si>
    <t>Dsi01</t>
  </si>
  <si>
    <t>Dsi02</t>
  </si>
  <si>
    <t>Dsi06</t>
  </si>
  <si>
    <t>Dsi07</t>
  </si>
  <si>
    <t>Bs07</t>
  </si>
  <si>
    <t>Bsi17</t>
  </si>
  <si>
    <t>R_BKP_C22</t>
  </si>
  <si>
    <t>https://goo.gl/JPvm16</t>
  </si>
  <si>
    <t>https://goo.gl/sVnE6C</t>
  </si>
  <si>
    <t>https://goo.gl/asmk8p</t>
  </si>
  <si>
    <t>https://goo.gl/av4o76</t>
  </si>
  <si>
    <t>https://goo.gl/g4fxdv</t>
  </si>
  <si>
    <t>https://goo.gl/LmzBbu</t>
  </si>
  <si>
    <t>https://goo.gl/KYbs1T</t>
  </si>
  <si>
    <t>https://goo.gl/hq7GQ4</t>
  </si>
  <si>
    <t>https://goo.gl/GQWRzV</t>
  </si>
  <si>
    <t>https://goo.gl/xKxbmY</t>
  </si>
  <si>
    <t>https://goo.gl/SxXoFA</t>
  </si>
  <si>
    <t>https://goo.gl/zEaUJS</t>
  </si>
  <si>
    <t>https://goo.gl/CsXc3F</t>
  </si>
  <si>
    <t>https://goo.gl/Nzbt5Z</t>
  </si>
  <si>
    <t>https://goo.gl/Wj94x7</t>
  </si>
  <si>
    <t>Die Links des Bauteilkatalogs sind für Excel zu lang (max. 256 Zeichen). Deshalb wurden sie mit dem URL-Shortener goo.gl gekürzt.</t>
  </si>
  <si>
    <t>Anleitung: Über das Kürzel BKPshort und die gleich benannten Bereiche in dieser Tabelle werden die Bauteile gruppiert (Indirekt-Funktion). Die Bauteilliste ist nach BKPshort zu sortieren, die Bezeichnungen der davon erfassten Bauteile müssen in einem identisch benannten, zusammenhängenden Bereich liegen. Die Bezeichnungen der Bauteile sind im Blatt "Texte" hinterlegt (Mehrsprachigkeit!).</t>
  </si>
  <si>
    <t>Balkendecke, sichtbare Balken, einfache Decke mit Nassestrich (Lignum)</t>
  </si>
  <si>
    <t>Balkendecke, Nassestrich mit heruntergehängter Decke (Lignum)</t>
  </si>
  <si>
    <t>Balkendecke, Trockenestrich mit heruntergehängter Decke (Lignum)</t>
  </si>
  <si>
    <t>Balkendecke, sichtbare Balken, einfache Decke mit Trockenestrich (Lignum)</t>
  </si>
  <si>
    <t>Hohlkastendecke, Nassestrich, ohne heruntergeh. Decke (Lignum)</t>
  </si>
  <si>
    <t>Hohlkastendecke, Nassestrich mit heruntergeh. Decke (Lignum)</t>
  </si>
  <si>
    <t>Massivholzdecke, Nassestrich ohne heruntergeh. Decke (Lignum)</t>
  </si>
  <si>
    <t>Massivholzdecke, Trockenestrich mit herunterge. Decke (Lignum)</t>
  </si>
  <si>
    <t>Massivholzdecke, Nassestrich mit heruntergeh. Decke (Lignum)</t>
  </si>
  <si>
    <t>Holz-Beton-Verbunddecke, Nassestrich ohne heruntergeh. Decke (Lignum)</t>
  </si>
  <si>
    <t>Trennwand 2-Schalig, Ständer, Gipskarton einfach beplankt (Lignum)</t>
  </si>
  <si>
    <t>Trennwand 1-schalig, Ständer, Gipskarton einfach beplankt (Lignum)</t>
  </si>
  <si>
    <t>Trennwand Holz massiv, mit Vorsatzschale Gipskarton doppelt beplankt (Lignum)</t>
  </si>
  <si>
    <t>Aussenwand Holzständer, innen Vorsatzschale 1-fach beplankt (Lignum)</t>
  </si>
  <si>
    <t>Aussenwand Holz massiv, innen Vorsatzschale 1-fach beplankt (Lignum)</t>
  </si>
  <si>
    <t>Dachkonstruktion Holz, Balken/Sparren sichtbar (Lignum)</t>
  </si>
  <si>
    <t>Dachkonstruktion Holz, Balken/Sparren mit HWS-Platte beplankt (Lignum)</t>
  </si>
  <si>
    <t>Dachkonstruktion Holz massiv (Lignum)</t>
  </si>
  <si>
    <t>https://lignumdata.ch/detail.cfm?page=detail&amp;lid=D0278</t>
  </si>
  <si>
    <t>https://lignumdata.ch/detail.cfm?page=detail&amp;lid=D0737</t>
  </si>
  <si>
    <t>https://lignumdata.ch/detail.cfm?page=detail&amp;lid=B0031</t>
  </si>
  <si>
    <t>https://lignumdata.ch/detail.cfm?page=detail&amp;lid=C0101</t>
  </si>
  <si>
    <t>https://lignumdata.ch/detail.cfm?page=detail&amp;lid=C0115</t>
  </si>
  <si>
    <t>B0031</t>
  </si>
  <si>
    <t>C0101</t>
  </si>
  <si>
    <t>C0115</t>
  </si>
  <si>
    <t>D0278</t>
  </si>
  <si>
    <t>D0737</t>
  </si>
  <si>
    <t>A0090</t>
  </si>
  <si>
    <t>A0120</t>
  </si>
  <si>
    <t>A0129</t>
  </si>
  <si>
    <t>A0234</t>
  </si>
  <si>
    <t>A0440</t>
  </si>
  <si>
    <t>A0318</t>
  </si>
  <si>
    <t>A1095</t>
  </si>
  <si>
    <t>A1161</t>
  </si>
  <si>
    <t>A1123</t>
  </si>
  <si>
    <t>A1349</t>
  </si>
  <si>
    <t>https://lignumdata.ch/detail.cfm?page=detail&amp;lid=A0090</t>
  </si>
  <si>
    <t>https://lignumdata.ch/detail.cfm?page=detail&amp;lid=A0120</t>
  </si>
  <si>
    <t>https://lignumdata.ch/detail.cfm?page=detail&amp;lid=A0129</t>
  </si>
  <si>
    <t>https://lignumdata.ch/detail.cfm?page=detail&amp;lid=A0234</t>
  </si>
  <si>
    <t>https://lignumdata.ch/detail.cfm?page=detail&amp;lid=A0440</t>
  </si>
  <si>
    <t>https://lignumdata.ch/detail.cfm?page=detail&amp;lid=A0318</t>
  </si>
  <si>
    <t>https://lignumdata.ch/detail.cfm?page=detail&amp;lid=A1095</t>
  </si>
  <si>
    <t>https://lignumdata.ch/detail.cfm?page=detail&amp;lid=A1161</t>
  </si>
  <si>
    <t>https://lignumdata.ch/detail.cfm?page=detail&amp;lid=A1123</t>
  </si>
  <si>
    <t>https://lignumdata.ch/detail.cfm?page=detail&amp;lid=A1349</t>
  </si>
  <si>
    <t>E0056</t>
  </si>
  <si>
    <t>E0105</t>
  </si>
  <si>
    <t>E0135</t>
  </si>
  <si>
    <t>https://lignumdata.ch/detail.cfm?page=detail&amp;lid=E0056</t>
  </si>
  <si>
    <t>https://lignumdata.ch/detail.cfm?page=detail&amp;lid=E0105</t>
  </si>
  <si>
    <t>https://lignumdata.ch/detail.cfm?page=detail&amp;lid=E0135</t>
  </si>
  <si>
    <t>Die Bewertung gemäss SNBS Indikator 301.1 ergibt</t>
  </si>
  <si>
    <t>Die Bewertung gemäss SNBS Indikator 302.1 ergibt</t>
  </si>
  <si>
    <t>Quelle</t>
  </si>
  <si>
    <t>https://goo.gl/iXBFAy</t>
  </si>
  <si>
    <t>D2.B14</t>
  </si>
  <si>
    <t>D2.B15</t>
  </si>
  <si>
    <t>https://goo.gl/vFCBc2</t>
  </si>
  <si>
    <t>E0.B03</t>
  </si>
  <si>
    <t>https://goo.gl/GrvkoZ</t>
  </si>
  <si>
    <t>E0.B01</t>
  </si>
  <si>
    <t>https://goo.gl/MDKSqY</t>
  </si>
  <si>
    <t>E0.B09</t>
  </si>
  <si>
    <t>https://goo.gl/szUwGP</t>
  </si>
  <si>
    <t>https://goo.gl/mBzY9S</t>
  </si>
  <si>
    <t>E0.B21</t>
  </si>
  <si>
    <t>E0.B301</t>
  </si>
  <si>
    <t>https://goo.gl/6G6jY3</t>
  </si>
  <si>
    <t>E0.B303</t>
  </si>
  <si>
    <t>https://goo.gl/vSEB7X</t>
  </si>
  <si>
    <t>E0.Bi06</t>
  </si>
  <si>
    <t>https://goo.gl/F3Hrxq</t>
  </si>
  <si>
    <t>E0.Bi102</t>
  </si>
  <si>
    <t>https://goo.gl/WF5Qrk</t>
  </si>
  <si>
    <t>E1.D01</t>
  </si>
  <si>
    <t>https://goo.gl/k7czna</t>
  </si>
  <si>
    <t>E1.D07</t>
  </si>
  <si>
    <t>https://goo.gl/mdc51X</t>
  </si>
  <si>
    <t>E1.D08</t>
  </si>
  <si>
    <t>https://goo.gl/yyMUbU</t>
  </si>
  <si>
    <t>E1.Di03</t>
  </si>
  <si>
    <t>https://goo.gl/Z8Lujk</t>
  </si>
  <si>
    <t>E1.Di201</t>
  </si>
  <si>
    <t>https://goo.gl/s56bqV</t>
  </si>
  <si>
    <t>https://goo.gl/o7UWC4</t>
  </si>
  <si>
    <t>E1.Di301</t>
  </si>
  <si>
    <t>E3.W001</t>
  </si>
  <si>
    <t>https://goo.gl/UfAiw3</t>
  </si>
  <si>
    <t>E3.W37</t>
  </si>
  <si>
    <t>https://goo.gl/Tk8Qwr</t>
  </si>
  <si>
    <t>E3.W38</t>
  </si>
  <si>
    <t>https://goo.gl/4bDD55</t>
  </si>
  <si>
    <t>E4.W001</t>
  </si>
  <si>
    <t>https://goo.gl/j6FBfV</t>
  </si>
  <si>
    <t>https://goo.gl/6YZ8NY</t>
  </si>
  <si>
    <t>E4.W002</t>
  </si>
  <si>
    <t>E4.W01</t>
  </si>
  <si>
    <t>https://goo.gl/x917LE</t>
  </si>
  <si>
    <t>E4.W04</t>
  </si>
  <si>
    <t>https://goo.gl/38Q7mA</t>
  </si>
  <si>
    <t>E4.W05i</t>
  </si>
  <si>
    <t>https://goo.gl/z9hZ9c</t>
  </si>
  <si>
    <t>E4.W09</t>
  </si>
  <si>
    <t>https://goo.gl/MVVUZD</t>
  </si>
  <si>
    <t>E4.Wi101</t>
  </si>
  <si>
    <t>https://goo.gl/kBDNzz</t>
  </si>
  <si>
    <t>https://goo.gl/SShWFY</t>
  </si>
  <si>
    <t>E5.F02</t>
  </si>
  <si>
    <t>E5.F04</t>
  </si>
  <si>
    <t>https://goo.gl/GQSSgE</t>
  </si>
  <si>
    <t>https://goo.gl/wnZwh4</t>
  </si>
  <si>
    <t>E5.F06</t>
  </si>
  <si>
    <t>https://goo.gl/sVNVHw</t>
  </si>
  <si>
    <t>E5.F08</t>
  </si>
  <si>
    <t>E5.T01</t>
  </si>
  <si>
    <t>https://goo.gl/6KTbQ7</t>
  </si>
  <si>
    <t>E6.021</t>
  </si>
  <si>
    <t>https://goo.gl/oDxLJ3</t>
  </si>
  <si>
    <t>E6.023</t>
  </si>
  <si>
    <t>https://goo.gl/yBkvgh</t>
  </si>
  <si>
    <t>E6.040</t>
  </si>
  <si>
    <t>https://goo.gl/Vb9AU7</t>
  </si>
  <si>
    <t>M1.020</t>
  </si>
  <si>
    <t>https://goo.gl/WuKqmV</t>
  </si>
  <si>
    <t>M1.010</t>
  </si>
  <si>
    <t>https://goo.gl/w77AUL</t>
  </si>
  <si>
    <t>M1.040</t>
  </si>
  <si>
    <t>https://goo.gl/fkhwSf</t>
  </si>
  <si>
    <t>D0.U003</t>
  </si>
  <si>
    <t>D0.U004</t>
  </si>
  <si>
    <t>https://goo.gl/9vKXPW</t>
  </si>
  <si>
    <t>https://goo.gl/szYnHB</t>
  </si>
  <si>
    <t>Fundamentplatte 25cm Beton mit innerer Wärmedämmung XPS und Unterlagsboden (BTK)</t>
  </si>
  <si>
    <t>Wärmedämmung, Fundamentplatte 25cm Beton, Zementüberzug (BTK)</t>
  </si>
  <si>
    <t>Betondecke 22cm mit verputzter Aussenwärmedämmung (BTK)</t>
  </si>
  <si>
    <t>Betondecke 22cm mit innerer Wärmedämmung PUR, Unterlagsboden (BTK)</t>
  </si>
  <si>
    <t>Betondecke 22 cm mit innerer Wärmedämmung EPS, Trittschalldämmung, Unterlagsboden (BTK)</t>
  </si>
  <si>
    <t>Betondecke 22cm mit Trittschalldämmung und Unterlagsboden (BTK)</t>
  </si>
  <si>
    <t>Trapezblechdecke mit Beton 18cm, Trittschalldämmung, Unterlagsboden (BTK)</t>
  </si>
  <si>
    <t>Brettschichtholz-Massivdecke 16cm, Trittschalldämmung, Unterlagsboden (BTK)</t>
  </si>
  <si>
    <t>Holzbalkendecke mit Zusatzdämmung 8cm Steinwolle, Verkleidung aussen, Spanplatte innen (BTK)</t>
  </si>
  <si>
    <t>Holzkastendecke gedämmt, Trittschalldämmung, Spanplatte (BTK)</t>
  </si>
  <si>
    <t>Flachdach, Betondecke 22cm, EPS-Dämmung, Bitumenbahn, Kies (BTK)</t>
  </si>
  <si>
    <t>Flachdach, Betondecke 22cm, EPS-Dämmung, Bitumenbahn, begehbarer Belag (BTK)</t>
  </si>
  <si>
    <t>Flachdach, Trapezblech, Dämmung EPS, begehbar (BTK)</t>
  </si>
  <si>
    <t>Schrägdach, Sparrenlage mit Dämmung und Zusatzdämmung (BTK)</t>
  </si>
  <si>
    <t>Flachdach, Holzelementdach ausgedämmt, Bitumenbahn, Kies (BTK)</t>
  </si>
  <si>
    <t>Schrägdach, Holzelementdach ausgedämmt (BTK)</t>
  </si>
  <si>
    <t>Betonwand 25cm, Aussendämmung, Sickerplatten (BTK)</t>
  </si>
  <si>
    <t>Betonwand 25cm, Innendämmung verkleidet, Sickerplatten  (BTK)</t>
  </si>
  <si>
    <t>Stahlkassetten mit Zusatzdämmung, Stahlblechverkleidung (BTK)</t>
  </si>
  <si>
    <t>Stahlblech-Sandwichpaneele (BTK)</t>
  </si>
  <si>
    <t>Einschalenbacksteinmauerwerk, Aussenwärmedämmung EPS verputzt (BTK)</t>
  </si>
  <si>
    <t>Betonwand 20cm, Aussenwärmedämmung EPS verputzt (BTK)</t>
  </si>
  <si>
    <t>Backsteinmauerwerk, Aussenwärmedämmung hinterlüftet (BTK)</t>
  </si>
  <si>
    <t>Zweischalenmauerwerk verputzt, Kerndämmung (BTK)</t>
  </si>
  <si>
    <t>Holzelementwand ausgedämmt (BTK)</t>
  </si>
  <si>
    <t>Holzfenster 3-IV (BTK)</t>
  </si>
  <si>
    <t>Holz-Metall-Fenster 3-IV (BTK)</t>
  </si>
  <si>
    <t>Kunststofffenster 3-IV (BTK)</t>
  </si>
  <si>
    <t>Alu-Fenster 3-IV (BTK)</t>
  </si>
  <si>
    <t>Aussentüre Holz (BTK)</t>
  </si>
  <si>
    <t>Backstein-Innenwand verputzt (BTK)</t>
  </si>
  <si>
    <t>Zweischalige Backsteinwand, verputzt (BTK)</t>
  </si>
  <si>
    <t>Betonwand 20cm (BTK)</t>
  </si>
  <si>
    <t>Leichtbauwand Gipskarton, 2-fach beplankt (BTK)</t>
  </si>
  <si>
    <t>Trennwand Vollgips (BTK)</t>
  </si>
  <si>
    <t>Trennwand Holz (BTK)</t>
  </si>
  <si>
    <t>Baugrubenaushub, Lager Baustelle (BTK)</t>
  </si>
  <si>
    <t>Baugrubenaushub in Deponie (BTK)</t>
  </si>
  <si>
    <t>BTK</t>
  </si>
  <si>
    <t>Lignum</t>
  </si>
  <si>
    <t>AHV</t>
  </si>
  <si>
    <t>Betonwand 25cm ungedämmt, Sickerplatten (BTK)</t>
  </si>
  <si>
    <t>Sondenlänge</t>
  </si>
  <si>
    <t>Kollektorfläche</t>
  </si>
  <si>
    <t>KBOB</t>
  </si>
  <si>
    <t>Max. Leistung</t>
  </si>
  <si>
    <t>https://www.kbob.admin.ch/kbob/de/home/publikationen/nachhaltiges-bauen/oekobilanzdaten_baubereich.html</t>
  </si>
  <si>
    <t>31.001</t>
  </si>
  <si>
    <t>31.002</t>
  </si>
  <si>
    <t>31.003</t>
  </si>
  <si>
    <t>31.021</t>
  </si>
  <si>
    <t>31.022</t>
  </si>
  <si>
    <t>31.023</t>
  </si>
  <si>
    <t>31.024</t>
  </si>
  <si>
    <t>31.025</t>
  </si>
  <si>
    <t>31.015</t>
  </si>
  <si>
    <t>31.016</t>
  </si>
  <si>
    <t>31.007</t>
  </si>
  <si>
    <t>31.008</t>
  </si>
  <si>
    <t>31.009</t>
  </si>
  <si>
    <t>32.006</t>
  </si>
  <si>
    <t>32.007</t>
  </si>
  <si>
    <t>32.012</t>
  </si>
  <si>
    <t>32.001</t>
  </si>
  <si>
    <t>32.002</t>
  </si>
  <si>
    <t>32.003</t>
  </si>
  <si>
    <t>33.001</t>
  </si>
  <si>
    <t>33.002</t>
  </si>
  <si>
    <t>33.003</t>
  </si>
  <si>
    <t>34.001</t>
  </si>
  <si>
    <t>34.002</t>
  </si>
  <si>
    <t>34.025</t>
  </si>
  <si>
    <t>34.026</t>
  </si>
  <si>
    <t>34.027</t>
  </si>
  <si>
    <t>https://goo.gl/48WKt7</t>
  </si>
  <si>
    <t>D2.B005</t>
  </si>
  <si>
    <t>R_BKP_D</t>
  </si>
  <si>
    <t>R_BKP_E3</t>
  </si>
  <si>
    <t>Dummy RD21</t>
  </si>
  <si>
    <t>Dummy RD22</t>
  </si>
  <si>
    <t>Dummy RD23</t>
  </si>
  <si>
    <t>Dummy RD24</t>
  </si>
  <si>
    <t>Dummy RD25</t>
  </si>
  <si>
    <t>Dummy RD26</t>
  </si>
  <si>
    <t>Dummy RD27</t>
  </si>
  <si>
    <t>Dummy RD28</t>
  </si>
  <si>
    <t>Dummy RD29</t>
  </si>
  <si>
    <t>Bodenplatte, Innensanierung mit Zementüberzug, 14cm XPS (BTK)</t>
  </si>
  <si>
    <t>Kompaktfassade auf Mauerwerk, 20cm EPS (BTK)</t>
  </si>
  <si>
    <t>Hinterlüftete Aussenwärmedämmung auf Mauerwerk, 20cm Steinwolle (BTK)</t>
  </si>
  <si>
    <t>Innendämmung mit Verkleidung auf Mauerwerk, 22cm Steinwolle (BTK)</t>
  </si>
  <si>
    <t>Aussensanierung auf Mauerwerk zu unbeheizt (BTK)</t>
  </si>
  <si>
    <t>Aussendämmung auf Betondecke zu unbeheizt (BTK)</t>
  </si>
  <si>
    <t>Innendämmung mit Deckenverkleidung unter gedämmter Betondecke zu unbeheizt (BTK)</t>
  </si>
  <si>
    <t>Kerndämmung Balkendecke zu unbeheizt (BTK)</t>
  </si>
  <si>
    <t>Innendämmung unter Balkendecke mit Schlackenfüllung zu unbeheizt (BTK)</t>
  </si>
  <si>
    <t>Innendämmung auf gedämmter Balkendecke zu unbeheizt, 16cm Steinwolle (BTK)</t>
  </si>
  <si>
    <t>Doppeldach auf Betondecke (BTK)</t>
  </si>
  <si>
    <t>Umkehrdach / Plusdach auf Betondecke, 22cm XPS (BTK)</t>
  </si>
  <si>
    <t>Doppeldach begehbar auf Betondecke (BTK)</t>
  </si>
  <si>
    <t>Aussensanierung ungedämmtes Steildach (BTK)</t>
  </si>
  <si>
    <t>Kernsanierung ungedämmtes Steildach (BTK)</t>
  </si>
  <si>
    <t>Calculation</t>
  </si>
  <si>
    <t>Calcolo</t>
  </si>
  <si>
    <t>Target value</t>
  </si>
  <si>
    <t>No limit defined</t>
  </si>
  <si>
    <t>Nessun limite definito</t>
  </si>
  <si>
    <t>Valeur cible</t>
  </si>
  <si>
    <t>desired certificate</t>
  </si>
  <si>
    <t>building category</t>
  </si>
  <si>
    <t>False building category - please re-select</t>
  </si>
  <si>
    <t>Builder</t>
  </si>
  <si>
    <t>Physicien du bâtiment</t>
  </si>
  <si>
    <t>Désignation</t>
  </si>
  <si>
    <t>Designazione</t>
  </si>
  <si>
    <t>Designation</t>
  </si>
  <si>
    <t>Use the areas and components of the energy calculations.</t>
  </si>
  <si>
    <t>Energy Standard</t>
  </si>
  <si>
    <t>Error in entry field</t>
  </si>
  <si>
    <t>Ventilation: new or replaced?</t>
  </si>
  <si>
    <t>Sanitary installation: new or replaced?</t>
  </si>
  <si>
    <t>Electrical installation: new or replaced?</t>
  </si>
  <si>
    <t>Heating distribution: new or replaced?</t>
  </si>
  <si>
    <t>Calculation of embodied energy and greenhousegas-emissions</t>
  </si>
  <si>
    <t>Building</t>
  </si>
  <si>
    <t>Areas</t>
  </si>
  <si>
    <t>Building Systems</t>
  </si>
  <si>
    <t>Energy reference area</t>
  </si>
  <si>
    <t>Heated spaces to unheated/earth</t>
  </si>
  <si>
    <t>Floors</t>
  </si>
  <si>
    <t>Unheated floors</t>
  </si>
  <si>
    <t>Avg room height</t>
  </si>
  <si>
    <t>PV-Panels</t>
  </si>
  <si>
    <t>Thermal panels</t>
  </si>
  <si>
    <t>Gross floor area</t>
  </si>
  <si>
    <t>Gross floor area (below ground)</t>
  </si>
  <si>
    <t>Floors below ground</t>
  </si>
  <si>
    <t>Earth probe</t>
  </si>
  <si>
    <t>Building energy standard</t>
  </si>
  <si>
    <t xml:space="preserve">Geben Sie die Fläche des Bauteils ein. Falls das Eingabefeld rot hinterlegt ist, müssen Sie keinen Wert eintragen (automatisch berechnet). </t>
  </si>
  <si>
    <t>Outil Énergie Grise Minergie-Eco®</t>
  </si>
  <si>
    <t>General Data</t>
  </si>
  <si>
    <t>Building Elements</t>
  </si>
  <si>
    <t>Description</t>
  </si>
  <si>
    <t>Transfer from other calculations</t>
  </si>
  <si>
    <t>Heating replaced or new?</t>
  </si>
  <si>
    <t>Radiators etc. new or replaced?</t>
  </si>
  <si>
    <t>Tool Embodied Energy Minergie-Eco</t>
  </si>
  <si>
    <t>SIA2032</t>
  </si>
  <si>
    <t>Volumen</t>
  </si>
  <si>
    <t>Bodenplatte</t>
  </si>
  <si>
    <t>Bodenplatte, Fundament ungedämmt (SIA 2032)</t>
  </si>
  <si>
    <t>Bodenplatte, Fundament gedämmt (SIA 2032)</t>
  </si>
  <si>
    <t>Aussenwand unter Terrain ungedämmt (SIA 2032)</t>
  </si>
  <si>
    <t>Aussenwand unter Terrain gedämmt (SIA 2032)</t>
  </si>
  <si>
    <t>Dach unter Terrain ungedämmt (SIA 2032)</t>
  </si>
  <si>
    <t>Dach unter Terrain gedämmt (SIA 2032)</t>
  </si>
  <si>
    <t>Mittelwert Fenster 3-fach IV, inkl. Sonnenschutz (SIA 2032)</t>
  </si>
  <si>
    <t>N_BKP_G</t>
  </si>
  <si>
    <t>Betondecke 25 cm mit Innenputz (SIA 2032)</t>
  </si>
  <si>
    <t>Holzelementdecke (mit unterer Gipsbekleidung) (SIA 2032)</t>
  </si>
  <si>
    <t>Holzbetonverbund (mit unterer Gipsbekleidung) (SIA 2032)</t>
  </si>
  <si>
    <t>Fertiger Bodenbelag (ohne Unterkonstruktion) (SIA 2032)</t>
  </si>
  <si>
    <t>Unterkonstruktion und Bodenbelag (SIA 2032)</t>
  </si>
  <si>
    <t>Dämmung gegen unbeheizt (SIA 2032)</t>
  </si>
  <si>
    <t>Abgehängte Installationsdecke (Mittelwert) (SIA 2032)</t>
  </si>
  <si>
    <t>Balkon inkl. Absturzsicherung (SIA 2032)</t>
  </si>
  <si>
    <t>Elektroanlage Wohnen (SIA 2032)</t>
  </si>
  <si>
    <t>Elektroanlage Büro (SIA 2032)</t>
  </si>
  <si>
    <t>Solarstromanlage (1 m2 = 0.14 kWp) (SIA 2032)</t>
  </si>
  <si>
    <t>Wärmeerzeugung (SIA 2032)</t>
  </si>
  <si>
    <t>Wärmeverteilung und -Abgabe Wohnen (SIA 2032)</t>
  </si>
  <si>
    <t>Wärmeverteilung und -Abgabe Büro (SIA 2032)</t>
  </si>
  <si>
    <t>Erdwärmesonden (SIA 2032)</t>
  </si>
  <si>
    <t>Solarkollektoren (SIA 2032)</t>
  </si>
  <si>
    <t>Abluftanlage Küche und Bad (SIA 2032)</t>
  </si>
  <si>
    <t>Lüftungsanlage Wohnen (SIA 2032)</t>
  </si>
  <si>
    <t>Lüftungsanlage Büro (SIA 2032)</t>
  </si>
  <si>
    <t>Sanitäranlage Wohnen (SIA 2032)</t>
  </si>
  <si>
    <t>Sanitäranlage Büro (SIA 2032)</t>
  </si>
  <si>
    <t>Mittelwert Innenwand tragend (mit Innenputz) (SIA 2032)</t>
  </si>
  <si>
    <t>Mittelwert Innenwand nicht tragend (mit Innenputz) (SIA 2032)</t>
  </si>
  <si>
    <t>Aushub (SIA 2032)</t>
  </si>
  <si>
    <t>Baugrubenabschluss, Rühlwand (SIA 2032)</t>
  </si>
  <si>
    <t>Baugrubenabschluss, Spundwand (SIA 2032)</t>
  </si>
  <si>
    <t>Pfählung, Mikrobohrpfahl (SIA 2032)</t>
  </si>
  <si>
    <t>Pfählung, Ortbetonverdrängungspfahl (SIA 2032)</t>
  </si>
  <si>
    <t>Pfählung, Vorgefertigter Betonpfahl (SIA 2032)</t>
  </si>
  <si>
    <t>N_BKP_C43</t>
  </si>
  <si>
    <t>Fundamentplatte 25cm Beton (BTK)</t>
  </si>
  <si>
    <t>Abluftanlage Wohnen, Küche und Bad (KBOB)</t>
  </si>
  <si>
    <t>Elektroanlagen Büro (KBOB)</t>
  </si>
  <si>
    <t>Elektroanlagen Wohnen (KBOB)</t>
  </si>
  <si>
    <t>Erdsonden, für Sole-Wasser-Wärmepumpe (KBOB)</t>
  </si>
  <si>
    <t>Flachkollektor für Raumheizung und Warmwasser EFH (KBOB)</t>
  </si>
  <si>
    <t>Flachkollektor für Warmwasser EFH (KBOB)</t>
  </si>
  <si>
    <t>Flachkollektor für Warmwasser MFH (KBOB)</t>
  </si>
  <si>
    <t>Lüftungsanlage Büro (4 m3/h*m2) (KBOB)</t>
  </si>
  <si>
    <t>Lüftungsanlage Schule, Versammlung (8 m3/h*m2) (KBOB)</t>
  </si>
  <si>
    <t>Lüftungsanlage Wohnen, Blechkanäle, inkl. Küchenabluft (KBOB)</t>
  </si>
  <si>
    <t>Lüftungsanlage Wohnen, PE-Kanäle, inkl. Küchenabluft (KBOB)</t>
  </si>
  <si>
    <t>Lüftungsanlage, spez. Luftmenge 6 m3/hm2 EBF (KBOB)</t>
  </si>
  <si>
    <t>Sanitäranlagen, Büro, aufwändig, inkl. Apparate und Leitungen (KBOB)</t>
  </si>
  <si>
    <t>Sanitäranlagen, Büro, einfach, inkl. Apparate und Leitungen (KBOB)</t>
  </si>
  <si>
    <t>Sanitäranlagen, Wohnen, inkl. Apparate und Leitungen (KBOB)</t>
  </si>
  <si>
    <t>Solarstromanlage Fassade (KBOB)</t>
  </si>
  <si>
    <t>Solarstromanlage Flachdach (KBOB)</t>
  </si>
  <si>
    <t>Solarstromanlage Schrägdach (KBOB)</t>
  </si>
  <si>
    <t>Wärmeabgabe über Fussbodenheizung (KBOB)</t>
  </si>
  <si>
    <t>Wärmeabgabe über Heizkörper (KBOB)</t>
  </si>
  <si>
    <t>Wärmeabgabe über Heizkühldecke (ohne Gips- oder Metalldecke) (KBOB)</t>
  </si>
  <si>
    <t>Wärmeerzeuger, spez. Leistungsbedarf 10 W/m2 (KBOB)</t>
  </si>
  <si>
    <t>Wärmeerzeuger, spez. Leistungsbedarf 30 W/m2 (KBOB)</t>
  </si>
  <si>
    <t>Wärmeerzeuger, spez. Leistungsbedarf 50 W/m2 (KBOB)</t>
  </si>
  <si>
    <t>Wärmeverteilung Bürogebäude (KBOB)</t>
  </si>
  <si>
    <t>Wärmeverteilung und Abgabe, Luftheizung (KBOB)</t>
  </si>
  <si>
    <t>Wärmeverteilung Wohngebäude (KBOB)</t>
  </si>
  <si>
    <t>Versionierung</t>
  </si>
  <si>
    <t>Versions-Nr.</t>
  </si>
  <si>
    <t>Beschrieb der Anpassungen</t>
  </si>
  <si>
    <t xml:space="preserve">Datum </t>
  </si>
  <si>
    <t>Zuständig</t>
  </si>
  <si>
    <t>2.01</t>
  </si>
  <si>
    <t>Tool neu erstellt</t>
  </si>
  <si>
    <t>le</t>
  </si>
  <si>
    <t>2.001</t>
  </si>
  <si>
    <t>2.002</t>
  </si>
  <si>
    <t>Lignum Bauteile ergänzt</t>
  </si>
  <si>
    <t>2.003</t>
  </si>
  <si>
    <t>SIA 2032 Bauteile ergänzt</t>
  </si>
  <si>
    <t>Tool fertiggestellt</t>
  </si>
  <si>
    <t>Strumento energia grigia Minergie-Eco®</t>
  </si>
  <si>
    <t>Dati oggetto</t>
  </si>
  <si>
    <t>Certificato desiderato</t>
  </si>
  <si>
    <t>Categoria edificio</t>
  </si>
  <si>
    <t>Categoria edifico sbagliata - per favore riseleziona</t>
  </si>
  <si>
    <t>Fisico della costruzione</t>
  </si>
  <si>
    <t>Riassunto risultati</t>
  </si>
  <si>
    <t>La valutazione secondo SNBS indicatore 301.1 risultati</t>
  </si>
  <si>
    <t>Il valore mirato dell'energia grigia secondo SIA 2040 è</t>
  </si>
  <si>
    <t>Nessuna esigenza riguarda l'energia grigia</t>
  </si>
  <si>
    <t>La valutazione secondo SNBS indicatore 302.1 risultati</t>
  </si>
  <si>
    <t xml:space="preserve">Il valore mirato sulle emissioni di gas serra secondo SIA 2040 è </t>
  </si>
  <si>
    <t>Nessuna esigenza riguardo l'emissione di gas serra</t>
  </si>
  <si>
    <t>Guida abbreviata</t>
  </si>
  <si>
    <t>Registrare dapprima i dati dell’oggetto in questa scheda.</t>
  </si>
  <si>
    <t>Utilizzare le superfici e gli elementi presenti nel calcolo energetico (se disponibile).</t>
  </si>
  <si>
    <t>Si prega di leggere gli aiuti che appaiono quando si clicca su un campo dati di immissione.</t>
  </si>
  <si>
    <t>Dati generali</t>
  </si>
  <si>
    <t>Edificio</t>
  </si>
  <si>
    <t>Superfici</t>
  </si>
  <si>
    <t>Piani</t>
  </si>
  <si>
    <t>Impiantistica</t>
  </si>
  <si>
    <t>Superficie di riferimento</t>
  </si>
  <si>
    <t>Pavimento contro non risc./terra</t>
  </si>
  <si>
    <t>Numero di piani non riscaldati</t>
  </si>
  <si>
    <t>Altezza media dei locali</t>
  </si>
  <si>
    <t>Superficie del piano</t>
  </si>
  <si>
    <t>Superficie dei piani nel sottosuolo</t>
  </si>
  <si>
    <t>Numero dei piani nel sottosuolo</t>
  </si>
  <si>
    <t>Sonde geotermiche</t>
  </si>
  <si>
    <t>Standard energetici edifici</t>
  </si>
  <si>
    <t>Elementi costruttivi e impiantistica</t>
  </si>
  <si>
    <t>eCCC-E</t>
  </si>
  <si>
    <t>Sigla elemento costruttivo</t>
  </si>
  <si>
    <t>Standard energetico</t>
  </si>
  <si>
    <t>Riporto da altri fogli di calcolo</t>
  </si>
  <si>
    <t>Errore nel campo d'inserimento</t>
  </si>
  <si>
    <t>Grandezza oggetto</t>
  </si>
  <si>
    <t>Compattezza</t>
  </si>
  <si>
    <t>Ampliamenti</t>
  </si>
  <si>
    <t>Finestre</t>
  </si>
  <si>
    <t>Adattamento della struttura portante</t>
  </si>
  <si>
    <t>Gli elementi costruttivi portanti non vengono modificati (non vengono considerati singoli passaggi nelle pareti portanti con una superficie fino a 3 m2 come pure rinforzi antisismici).</t>
  </si>
  <si>
    <t>Abitazione plurifamiliare</t>
  </si>
  <si>
    <t>Piccoli edifici</t>
  </si>
  <si>
    <t>Amministrazione</t>
  </si>
  <si>
    <t>Scuola</t>
  </si>
  <si>
    <t>Negozi</t>
  </si>
  <si>
    <t>Ristorante</t>
  </si>
  <si>
    <t>Museo</t>
  </si>
  <si>
    <t>Ospedale</t>
  </si>
  <si>
    <t>Industria</t>
  </si>
  <si>
    <t>Piccole scuole</t>
  </si>
  <si>
    <t>Edifici sportivi</t>
  </si>
  <si>
    <t>Abitazione monofamiliare</t>
  </si>
  <si>
    <t>Abitazione</t>
  </si>
  <si>
    <t>Negozio specializzato</t>
  </si>
  <si>
    <t>Negozio alimentari</t>
  </si>
  <si>
    <t>Errore nel campo d'immissione</t>
  </si>
  <si>
    <t>B Preparazione</t>
  </si>
  <si>
    <t>C 1 Platea, fondazione</t>
  </si>
  <si>
    <t>C 2.2 Pareti interne</t>
  </si>
  <si>
    <t>C 4.1 Soletta</t>
  </si>
  <si>
    <t>C 4.3 Balcone</t>
  </si>
  <si>
    <t>C 4.4 Struttura portante del tetto</t>
  </si>
  <si>
    <t>D Impianti tecnici edifico</t>
  </si>
  <si>
    <t>E 3 Infisso in facciata</t>
  </si>
  <si>
    <t>F Tetto edificio</t>
  </si>
  <si>
    <t>G Finiture interne edificio</t>
  </si>
  <si>
    <t>Deposito in discarica del materiale di scavo (BTK)</t>
  </si>
  <si>
    <t>Deposito a lato del materiale di scavo (BTK)</t>
  </si>
  <si>
    <t>Platea di fondazione 25 cm in CLS</t>
  </si>
  <si>
    <t>Platea di fondazione 25 cm in CLS con isolamento termico interno XPS e massetto (BTK)</t>
  </si>
  <si>
    <t>Isolamento termico, platea di fondazione 25 cm CLS, rivestimento in cemento (BTK)</t>
  </si>
  <si>
    <t>Parete in CLS 25 cm, non isolata, elementi drenanti (BTK)</t>
  </si>
  <si>
    <t>Parete in CLS 25 cm, isolamento esterno, elementi drenanti (BTK)</t>
  </si>
  <si>
    <t>Parete in CLS 25 cm, isolamento interno rivestito, elementi drenanti (BTK)</t>
  </si>
  <si>
    <t>Parete esterna massiccia in legno, rivestimento interno a uno strato (Lignum)</t>
  </si>
  <si>
    <t>Parete esterna intelaiata in legno, rivestimento interno a uno strato (Lignum)</t>
  </si>
  <si>
    <t>Muratura in cotto, isolamento termico esterno ventilato (BTK)</t>
  </si>
  <si>
    <t>Parete 20 cm  CLS, isolamento esterno EPS intonacato (BTK)</t>
  </si>
  <si>
    <t>Parete in cotto monostrato,  isolamento esterno EPS intonacato (BTK)</t>
  </si>
  <si>
    <t>Parete in legno isolata (BTK)</t>
  </si>
  <si>
    <t>Pannello sandwich in lamiera d'acciaio (BTK)</t>
  </si>
  <si>
    <t>Muratura doppia in cotto con isolamento termico interposto (BTK)</t>
  </si>
  <si>
    <t>Parete interna in cotto intonacata (BKT)</t>
  </si>
  <si>
    <t>Parete in CLS 20 cm (BTK)</t>
  </si>
  <si>
    <t>Parete leggera in carongesso, rivestita sui due lati (BTK)</t>
  </si>
  <si>
    <t>Parete divisoria monostrato, intelaiatura, cartongesso a uno strato (Lignum)</t>
  </si>
  <si>
    <t>Parete divisoria bistrato, intelaiatura, cartongesso a uno strato (Lignum)</t>
  </si>
  <si>
    <t>Parete divisoria in legno (BTK)</t>
  </si>
  <si>
    <t>Parete divisoria massiccia in legno, con rivestimento in cartongesso doppio strato</t>
  </si>
  <si>
    <t>Parete divisoria massiccia in gesso (BTK)</t>
  </si>
  <si>
    <t>Doppia parete in mattoni di cotto, intonacata (BTK)</t>
  </si>
  <si>
    <t>Solaio con travetti, massetto con controsoffitto sospeso (Lignum)</t>
  </si>
  <si>
    <t>Solaio con travetti in vista, soffitto semplice, massetto normale (Lignum)</t>
  </si>
  <si>
    <t>Solaio con travetti in vista, soffitto semplice, massetto a secco (Lignum)</t>
  </si>
  <si>
    <t>Solaio con travetti, sottofondo a secco e con soffitto ribassato (Lignum)</t>
  </si>
  <si>
    <t>Soletta in CLS 22 cm con isolamento termico interno EPS, strato anticalpestio, massetto (BTK)</t>
  </si>
  <si>
    <t>Soletta in CLS 22 cm con isolamento termico interno PUR, massetto (BTK)</t>
  </si>
  <si>
    <t>Soletta in CLS 22 cm con strato anticalpestio e massetto</t>
  </si>
  <si>
    <t>Soletta in CLS 22 cm con isolamento termico esterno intonacato (BTK)</t>
  </si>
  <si>
    <t>Soletta massiccia con tavole in legno 16 cm, strato anticalpestio, massetto (BTK)</t>
  </si>
  <si>
    <t>Solaio a cassettoni in legno, massetto, soffitto ribassato (Lignum)</t>
  </si>
  <si>
    <t>Solaio a cassettoni in legno, massetto, senza soffitto ribassato (Lignum)</t>
  </si>
  <si>
    <t>Solaio con travetti con isolamento supplementare 8 cm lana di roccia, rivestimento esterno, pannello truciolare interno (BTK)</t>
  </si>
  <si>
    <t>Solaio misto legno-calcestruzzo, massetto, senza soffitto ribassato. Soffitto (Lignum)</t>
  </si>
  <si>
    <t>Solaio a cassettoni isolato, strato anticalpestio, pannello truciolare (BTK)</t>
  </si>
  <si>
    <t>Soletta massiccia in legno, massetto, con soffitto ribassato (Lignum)</t>
  </si>
  <si>
    <t>Soletta massiccia in legno, massetto, senza soffitto ribassato (Lignum)</t>
  </si>
  <si>
    <t>Soletta massiccia in legno, sottofondo a secco, con soffitto ribassato (Lignum)</t>
  </si>
  <si>
    <t>Solaio il lamiera grecata con CLS 18 cm, strato anticalpestio, sottofondo (BTK)</t>
  </si>
  <si>
    <t>Tetto in legno massiccio (Lignum)</t>
  </si>
  <si>
    <t>Tetto in legno, assito/travetti rivestimento con lastre derivate dal legno (Lignum)</t>
  </si>
  <si>
    <t>Tetto in legno, assito/travetti in vista (Lignum)</t>
  </si>
  <si>
    <t>Tetto piano, soletta in CLS 22 cm, isolamento EPS, guaina bituminosa, pavimentazione calpestabile (BTK)</t>
  </si>
  <si>
    <t>Tetto piano, soletta in CLS 22 cm, isolamento EPS, guaina bituminosa, ghiaia (BTK)</t>
  </si>
  <si>
    <t>Tetto piano, elementi in legno con isolamento, guaina bituminosa, ghiaia (BTK)</t>
  </si>
  <si>
    <t>Tetto piano, lamiera grecata, isolamento in EPS, calpestabile (BTK)</t>
  </si>
  <si>
    <t>Tetto a falde, elementi in legno, isolata (BTK)</t>
  </si>
  <si>
    <t>Tetto a falde, travetti in legno con isolamento interposto e isolamento aggiuntivo (BTK)</t>
  </si>
  <si>
    <t>Impianto di estrazione aria domestico, cucina e bagno</t>
  </si>
  <si>
    <t>Impianto elettrico ufficio</t>
  </si>
  <si>
    <t>Impianto elettrico abitazione</t>
  </si>
  <si>
    <t>Sonde geotermiche, per pompa di calore salamoia-acqua</t>
  </si>
  <si>
    <t>Collettore solare piano per il riscaldamento e l'acqua calda casa monofamiliare</t>
  </si>
  <si>
    <t>Collettore solare piano per l'acqua calda casa monofamiliare</t>
  </si>
  <si>
    <t>Collettore solare piano per l'acqua calda casa plurifamiliare</t>
  </si>
  <si>
    <t>Impianto di ventilazione ufficio (4 m3/h*m2)</t>
  </si>
  <si>
    <t>Impianto di ventilazione scuola, sala riunioni (8 m3/h*m2)</t>
  </si>
  <si>
    <t>Impianto di ventilazione abitazione, canali in lamiera, incluso cappa cucina</t>
  </si>
  <si>
    <t>Impianto di ventilazione abitazione, canali in PE, incluso cappa cucina</t>
  </si>
  <si>
    <t>Impianto di ventilazione, flusso d'aria specifico 6 m3/hm2 SRE</t>
  </si>
  <si>
    <t>Impianti sanitari, ufficio, complesso, incluso apparecchi e tubazioni</t>
  </si>
  <si>
    <t>Impianti sanitari abitazione, semplice, incluso apparecchi e tubazioni</t>
  </si>
  <si>
    <t>Impianti sanitari, abitazione, incluso apparecchi e tubazioni</t>
  </si>
  <si>
    <t>Impianto fotovoltaico in facciata</t>
  </si>
  <si>
    <t>Impianto fotovoltaico tetto piano</t>
  </si>
  <si>
    <t>Impianto fotovoltaico tetto a falde</t>
  </si>
  <si>
    <t>Emissione del calore tramite riscaldamento a pavimento</t>
  </si>
  <si>
    <t>Emissione del calore tramite corpo riscaldante</t>
  </si>
  <si>
    <t>Emissione del calore tramite soffitto riscaldante/raffreddante (senza elementi in gesso o metallo)</t>
  </si>
  <si>
    <t>Generatore termico, fabbisogno di potenza specifica 10 W/m2</t>
  </si>
  <si>
    <t>Generatore termico, fabbisogno di potenza specifica 30 W/m2</t>
  </si>
  <si>
    <t>Generatore termico, fabbisogno di potenza specifica 50 W/m2</t>
  </si>
  <si>
    <t>Distribuzione del calore edifico amministrativo</t>
  </si>
  <si>
    <t>Distribuzione e emissione del calore, riscaldamento ad aria</t>
  </si>
  <si>
    <t>Distribuzione del calore edificio abitativo</t>
  </si>
  <si>
    <t>Finestra in alluminio triplo vetro (BTK)</t>
  </si>
  <si>
    <t>Porta esterna in legno (BTK)</t>
  </si>
  <si>
    <t>Finestra in legno triplo vetro (BTK)</t>
  </si>
  <si>
    <t>Finestra legno-metallo vetro triplo (BTK)</t>
  </si>
  <si>
    <t>Finestra in plastica vetro triplo (BTK)</t>
  </si>
  <si>
    <t>Lastre per pavimento, risanamento interno con rivestimento cementizio, 14 cm XPS (BKT)</t>
  </si>
  <si>
    <t>Cappotto su muratura, 20 cm EPS (BTK)</t>
  </si>
  <si>
    <t>Isolamento esterno ventilato su muratura, 20 cm lana di roccia (BTK)</t>
  </si>
  <si>
    <t xml:space="preserve">Isolamento interno con rivestimento, su muratura, 22 cm lana di roccia (BTK) </t>
  </si>
  <si>
    <t>Isolamento esterno su muratura contro non riscaldato (BTK)</t>
  </si>
  <si>
    <t>Isolamento esterno su soletta in CLS contro non riscaldato (BTK)</t>
  </si>
  <si>
    <t>Isolamento interno con rivestimento del soffitto di una soletta in CLS isolata, contro non riscaldato (BTK)</t>
  </si>
  <si>
    <t>Isolamento tra i travetti di un solaio verso non riscaldato (BTK)</t>
  </si>
  <si>
    <t>Isolamento interno sotto un solaio con travetti riempito di scorie, verso non riscaldato (BTK)</t>
  </si>
  <si>
    <t>Isolamento interno sopra un solaio isolato con travetti, 16 cm lana di roccia (BTK)</t>
  </si>
  <si>
    <t>Doppio tetto su soletta in CLS (BTK)</t>
  </si>
  <si>
    <t>Tetto rovescio / aggiunto su soletta in CLS, 22 cm XPS (BTK)</t>
  </si>
  <si>
    <t>Tetto doppio calpestabile su soletta in CLS (BTK)</t>
  </si>
  <si>
    <t>Risanamento esterno tetto a falde non isolato (BTK)</t>
  </si>
  <si>
    <t>Risanamento strutturale tetto a falde non isolato (BTK)</t>
  </si>
  <si>
    <t>ampiamente soddisfatte</t>
  </si>
  <si>
    <t>soddisfatte</t>
  </si>
  <si>
    <t>non soddisfatte</t>
  </si>
  <si>
    <t>Valore mirato</t>
  </si>
  <si>
    <t>Nuova costruzione</t>
  </si>
  <si>
    <t>Selezioni lo standard energetico desiderato.</t>
  </si>
  <si>
    <t>È necessario selezionare una voce dall'elenco.</t>
  </si>
  <si>
    <t>P.F. indichi la SRE dell'edifico</t>
  </si>
  <si>
    <t>La SRE deve trovarsi tra 0 e 200'000 m2.</t>
  </si>
  <si>
    <t>Indichi la superficie.</t>
  </si>
  <si>
    <t>Deve indicare un valore tra 0 e la SRE.</t>
  </si>
  <si>
    <t>Piano non riscaldato</t>
  </si>
  <si>
    <t>Indichi il numero di piani non riscaldati (numeri decimali sono ammessi).</t>
  </si>
  <si>
    <t>Deve indicare un valore tra 0 e 20.</t>
  </si>
  <si>
    <t>Altezza media del locale</t>
  </si>
  <si>
    <t>Indichi l'altezza media di tutti i piani riscaldati.</t>
  </si>
  <si>
    <t>Impianto FV</t>
  </si>
  <si>
    <t>Indichi la superficie netta di captazione FV</t>
  </si>
  <si>
    <t>Deve indicare un valore tra 0 e 2.5 volte la superfice del piano.</t>
  </si>
  <si>
    <t>Selezioni SI, nel caso le sonde siano nuove o vengano sostituite.</t>
  </si>
  <si>
    <t>Distribuzione del calore</t>
  </si>
  <si>
    <t>Selezioni SÌ, se la distribuzione viene in buona parte sostituita o è nuova</t>
  </si>
  <si>
    <t>Impianto di ventilazione</t>
  </si>
  <si>
    <t>Selezioni SÌ, se la ventilazione viene in buona parte sostituita o è nuova</t>
  </si>
  <si>
    <t>Impianti elettrici</t>
  </si>
  <si>
    <t>Selezioni SÌ, se le installazioni elettriche vengono in buona parte sostituite o sono nuove</t>
  </si>
  <si>
    <t>Tipologia della pianta</t>
  </si>
  <si>
    <t>Selezioni nell'elenco la tipologia di pianta più affine.</t>
  </si>
  <si>
    <t>Superfice dei piani</t>
  </si>
  <si>
    <t>Indicare la superficie dei piani (inclusa quella dei piani non riscaldati).</t>
  </si>
  <si>
    <t>Deve indicare un valore tra 0 e 300'000.</t>
  </si>
  <si>
    <t>Superficie dei piani interrati</t>
  </si>
  <si>
    <t>Indicare la superficie dei piani interrati.</t>
  </si>
  <si>
    <t>Deve indicare un valore tra 0 e quello della superficie del piano.</t>
  </si>
  <si>
    <t>Piani interrati</t>
  </si>
  <si>
    <t>Indicare il numero dei piani interrati (numeri decimali sono ammessi).</t>
  </si>
  <si>
    <t>Deve indicare un valore tra 0 e 10.</t>
  </si>
  <si>
    <t>Impianto solare termico</t>
  </si>
  <si>
    <t>Indichi la superficie netta dell'assorbitore.</t>
  </si>
  <si>
    <t>Generatore termico</t>
  </si>
  <si>
    <t>Selezioni SÌ, se il generatore termico viene in buona parte sostituito o è nuovo</t>
  </si>
  <si>
    <t>Emissione del calore</t>
  </si>
  <si>
    <t>Selezioni SÌ, se il sistema d'emissione del calore (corpi riscaldanti ecc.) viene in buona parte sostituito o è nuovo.</t>
  </si>
  <si>
    <t>Impianti sanitari</t>
  </si>
  <si>
    <t>Selezioni SÌ, se gli impianti sanitari vengono in buona parte sostituiti o sono nuovi.</t>
  </si>
  <si>
    <t>Selezioni dalla lista la rispettiva categoria del eCCC-E.</t>
  </si>
  <si>
    <t>Elemento costruttivo</t>
  </si>
  <si>
    <t>Selezioni dalla lista lo standard energetico desiderato.</t>
  </si>
  <si>
    <t>Indicare la superficie dell'elemento costruttivo. Se il campo di imput è marcato in rosso, non deve inserire nessun valore (calcolato automaticamente).</t>
  </si>
  <si>
    <t>È necessario immettere un valore intero compreso tra 0 e 99'999.</t>
  </si>
  <si>
    <t>Selezionare una voce dall' elenco. Attenzione: se il campo è giallo, è necessario selezionare nuovamente il componente.</t>
  </si>
  <si>
    <t>Données du projet</t>
    <phoneticPr fontId="12" type="noConversion"/>
  </si>
  <si>
    <t>Certificat souhaité</t>
    <phoneticPr fontId="12" type="noConversion"/>
  </si>
  <si>
    <t>Catégorie de bâtiment</t>
    <phoneticPr fontId="12" type="noConversion"/>
  </si>
  <si>
    <t>Catégorie de bâtiment incorrecte - sélectionner encore une fois</t>
    <phoneticPr fontId="12" type="noConversion"/>
  </si>
  <si>
    <t>Auteur du justificatif</t>
    <phoneticPr fontId="12" type="noConversion"/>
  </si>
  <si>
    <t>Date, signature</t>
    <phoneticPr fontId="12" type="noConversion"/>
  </si>
  <si>
    <t>Récapitulation des résultats</t>
    <phoneticPr fontId="12" type="noConversion"/>
  </si>
  <si>
    <t>Valeurs du projet</t>
    <phoneticPr fontId="12" type="noConversion"/>
  </si>
  <si>
    <t>Résultat de l'évaluation selon le SNBS, indicateur 301.1</t>
    <phoneticPr fontId="12" type="noConversion"/>
  </si>
  <si>
    <t>Valeur de référence d'énergie grise pour la construction selon la voie SIA vers l'efficacité énergétique:</t>
    <phoneticPr fontId="12" type="noConversion"/>
  </si>
  <si>
    <t>Aucune exigence par rapport à l'énergie grise</t>
    <phoneticPr fontId="12" type="noConversion"/>
  </si>
  <si>
    <t>Résultat de l'évaluation selon le SNBS, indicateur 302.1</t>
    <phoneticPr fontId="12" type="noConversion"/>
  </si>
  <si>
    <t>Valeur de référence d'émissions de gaz à effet de serre pour la construction selon la voie SIA vers l'efficacité énergétique:</t>
    <phoneticPr fontId="12" type="noConversion"/>
  </si>
  <si>
    <t>Aucune exigence par rapport aux émissions de gaz à effet de serre</t>
    <phoneticPr fontId="12" type="noConversion"/>
  </si>
  <si>
    <t>Guide rapide</t>
    <phoneticPr fontId="12" type="noConversion"/>
  </si>
  <si>
    <t xml:space="preserve">Des instructions détaillées sont disponibles sur le site Internet de Minergie.  </t>
    <phoneticPr fontId="12" type="noConversion"/>
  </si>
  <si>
    <t>Saisir en premier les données du projet dans cette feuille.</t>
    <phoneticPr fontId="12" type="noConversion"/>
  </si>
  <si>
    <t>Reporter les surfaces et les éléments de construction issus du calcul énergétique (si disponibles).</t>
    <phoneticPr fontId="12" type="noConversion"/>
  </si>
  <si>
    <t>Merci de lire les bulles d'aide qui apparaissent en cliquant sur les champs de saisie.</t>
    <phoneticPr fontId="12" type="noConversion"/>
  </si>
  <si>
    <t>En cas de questions concernant la certification, merci de contacter l'office de certification responsable.</t>
    <phoneticPr fontId="12" type="noConversion"/>
  </si>
  <si>
    <t>Données générales</t>
    <phoneticPr fontId="12" type="noConversion"/>
  </si>
  <si>
    <t>Bâtiment</t>
    <phoneticPr fontId="12" type="noConversion"/>
  </si>
  <si>
    <t>Surfaces</t>
    <phoneticPr fontId="12" type="noConversion"/>
  </si>
  <si>
    <t>Etages</t>
    <phoneticPr fontId="12" type="noConversion"/>
  </si>
  <si>
    <t>Technique du bâtiment</t>
    <phoneticPr fontId="12" type="noConversion"/>
  </si>
  <si>
    <t>Surface de référence énergétique</t>
    <phoneticPr fontId="12" type="noConversion"/>
  </si>
  <si>
    <t>Nombre d'étages non chauffés</t>
    <phoneticPr fontId="12" type="noConversion"/>
  </si>
  <si>
    <t>Hauteur moyenne des locaux</t>
    <phoneticPr fontId="12" type="noConversion"/>
  </si>
  <si>
    <t>Type de plan</t>
    <phoneticPr fontId="12" type="noConversion"/>
  </si>
  <si>
    <t>Surface de plancher</t>
    <phoneticPr fontId="12" type="noConversion"/>
  </si>
  <si>
    <t>Surface de plancher des sous-sol</t>
    <phoneticPr fontId="12" type="noConversion"/>
  </si>
  <si>
    <t>Nombre d'étages enterrés</t>
    <phoneticPr fontId="12" type="noConversion"/>
  </si>
  <si>
    <t>Sonde géothermique</t>
    <phoneticPr fontId="12" type="noConversion"/>
  </si>
  <si>
    <t>Standard énergétique du bâtiment</t>
    <phoneticPr fontId="12" type="noConversion"/>
  </si>
  <si>
    <t>Eléments de construction et technique du bâtiment</t>
  </si>
  <si>
    <t>eCCC-Bât</t>
    <phoneticPr fontId="12" type="noConversion"/>
  </si>
  <si>
    <t>Désignation de l'élément de construction</t>
    <phoneticPr fontId="12" type="noConversion"/>
  </si>
  <si>
    <t>Standard énergétique</t>
    <phoneticPr fontId="12" type="noConversion"/>
  </si>
  <si>
    <t>Lien</t>
    <phoneticPr fontId="12" type="noConversion"/>
  </si>
  <si>
    <t>Report provenant d'autres feuilles de calcul</t>
    <phoneticPr fontId="12" type="noConversion"/>
  </si>
  <si>
    <t>Erreur de saisie</t>
    <phoneticPr fontId="12" type="noConversion"/>
  </si>
  <si>
    <t>Questions</t>
  </si>
  <si>
    <t>Taille de l'objet</t>
  </si>
  <si>
    <t>Compacité</t>
    <phoneticPr fontId="12" type="noConversion"/>
  </si>
  <si>
    <t>La compacité du bâtiment est restée inchangée ou s'est améliorée (rapport entre le facteur d'enveloppe thermique Ath et la surface de référence énergétique AE)</t>
    <phoneticPr fontId="12" type="noConversion"/>
  </si>
  <si>
    <t>Degrés d'intervention</t>
    <phoneticPr fontId="12" type="noConversion"/>
  </si>
  <si>
    <t>La majeure partie des éléments de construction existants est conservée (pas d'évidemment, pas de déconstruction jusqu'au gros œuvre).</t>
    <phoneticPr fontId="12" type="noConversion"/>
  </si>
  <si>
    <t>Construction parois extérieures au-dessus du terrain et toiture</t>
    <phoneticPr fontId="12" type="noConversion"/>
  </si>
  <si>
    <t>Fenêtres</t>
    <phoneticPr fontId="12" type="noConversion"/>
  </si>
  <si>
    <t>Adaptations de la structure porteuse</t>
    <phoneticPr fontId="12" type="noConversion"/>
  </si>
  <si>
    <t>REMPLIR CETTE FEUILLE UNIQUEMENT POUR LES PROJETS DE MODERNISATION</t>
    <phoneticPr fontId="12" type="noConversion"/>
  </si>
  <si>
    <t>Merci de remplir le questionnaire intégralement.</t>
    <phoneticPr fontId="12" type="noConversion"/>
  </si>
  <si>
    <t>Habitat collectif</t>
    <phoneticPr fontId="12" type="noConversion"/>
  </si>
  <si>
    <t>Petit immeuble locatif</t>
    <phoneticPr fontId="12" type="noConversion"/>
  </si>
  <si>
    <t>Administration</t>
    <phoneticPr fontId="12" type="noConversion"/>
  </si>
  <si>
    <t>Ecoles</t>
    <phoneticPr fontId="12" type="noConversion"/>
  </si>
  <si>
    <t>Commerce</t>
    <phoneticPr fontId="12" type="noConversion"/>
  </si>
  <si>
    <t>Restauration</t>
    <phoneticPr fontId="12" type="noConversion"/>
  </si>
  <si>
    <t>Musées</t>
    <phoneticPr fontId="12" type="noConversion"/>
  </si>
  <si>
    <t>Hôpitaux</t>
    <phoneticPr fontId="12" type="noConversion"/>
  </si>
  <si>
    <t>Industrie</t>
    <phoneticPr fontId="12" type="noConversion"/>
  </si>
  <si>
    <t>Ecoles de petite taille</t>
    <phoneticPr fontId="12" type="noConversion"/>
  </si>
  <si>
    <t>Installations sportives</t>
    <phoneticPr fontId="12" type="noConversion"/>
  </si>
  <si>
    <t>Ecoles</t>
    <phoneticPr fontId="12" type="noConversion"/>
  </si>
  <si>
    <t>Habitat collectif</t>
    <phoneticPr fontId="12" type="noConversion"/>
  </si>
  <si>
    <t>Habitat</t>
    <phoneticPr fontId="12" type="noConversion"/>
  </si>
  <si>
    <t>Magasin spécialisé</t>
    <phoneticPr fontId="12" type="noConversion"/>
  </si>
  <si>
    <t>Magasin d'alimentation</t>
    <phoneticPr fontId="12" type="noConversion"/>
  </si>
  <si>
    <t>Restauration</t>
    <phoneticPr fontId="12" type="noConversion"/>
  </si>
  <si>
    <t>B Travaux préparatoires</t>
    <phoneticPr fontId="12" type="noConversion"/>
  </si>
  <si>
    <t>C1 Radiers, fondations</t>
    <phoneticPr fontId="12" type="noConversion"/>
  </si>
  <si>
    <t>C2.2 Parois porteuses intérieures</t>
    <phoneticPr fontId="12" type="noConversion"/>
  </si>
  <si>
    <t>C4.1 Planchers</t>
    <phoneticPr fontId="12" type="noConversion"/>
  </si>
  <si>
    <t>C4.3 Balcons</t>
    <phoneticPr fontId="12" type="noConversion"/>
  </si>
  <si>
    <t>D Installations</t>
    <phoneticPr fontId="12" type="noConversion"/>
  </si>
  <si>
    <t>E2 Revêtements de façades</t>
    <phoneticPr fontId="12" type="noConversion"/>
  </si>
  <si>
    <t>F Toitures</t>
    <phoneticPr fontId="12" type="noConversion"/>
  </si>
  <si>
    <t>G Aménagements intérieurs</t>
    <phoneticPr fontId="12" type="noConversion"/>
  </si>
  <si>
    <t>Déblai de fouille à la décharge (CC)</t>
    <phoneticPr fontId="12" type="noConversion"/>
  </si>
  <si>
    <t>Déblai de fouille, dépôt sur le chantier (CC)</t>
    <phoneticPr fontId="12" type="noConversion"/>
  </si>
  <si>
    <t>Radier en béton 25cm (CC)</t>
    <phoneticPr fontId="12" type="noConversion"/>
  </si>
  <si>
    <t>Radier en béton 25cm avec isolation thermique XPS côté intérieur et chape flottante (CC)</t>
    <phoneticPr fontId="12" type="noConversion"/>
  </si>
  <si>
    <t>Isolation thermique, radier en béton 25 cm, chape adhérente (CC)</t>
    <phoneticPr fontId="12" type="noConversion"/>
  </si>
  <si>
    <t>Paroi en béton 25cm sans isolation, plaques filtrantes (CC)</t>
    <phoneticPr fontId="12" type="noConversion"/>
  </si>
  <si>
    <t>Paroi en béton 25cm, isolation extérieure, plaques filtrantes (CC)</t>
    <phoneticPr fontId="12" type="noConversion"/>
  </si>
  <si>
    <t>Paroi en béton 25cm, isolation intérieure avec parement, plaques filtrantes (CC)</t>
    <phoneticPr fontId="12" type="noConversion"/>
  </si>
  <si>
    <t>Paroi extérieure primaire en bois massif, doublage intérieur avec parement simple (lignum)</t>
    <phoneticPr fontId="12" type="noConversion"/>
  </si>
  <si>
    <t>Paroi extérieure primaire ossature bois, doublage intérieur avec parement simple (lignum)</t>
    <phoneticPr fontId="12" type="noConversion"/>
  </si>
  <si>
    <t>Maçonnerie en briques de terre cuite, isolation thermique extérieure ventilée (CC)</t>
    <phoneticPr fontId="12" type="noConversion"/>
  </si>
  <si>
    <t>Paroi en béton 20cm, isolation thermique extérieure EPS crépie (CC)</t>
    <phoneticPr fontId="12" type="noConversion"/>
  </si>
  <si>
    <t>Maçonnerie à simple paroi en briques de terre cuite, isolation thermique extérieure EPS crépie (CC)</t>
    <phoneticPr fontId="12" type="noConversion"/>
  </si>
  <si>
    <t>Paroi en éléments de bois avec isolation thermique intermédiaire (CC)</t>
    <phoneticPr fontId="12" type="noConversion"/>
  </si>
  <si>
    <t>Panneaux sandwich de tôle d'acier (CC)</t>
    <phoneticPr fontId="12" type="noConversion"/>
  </si>
  <si>
    <t>Bardage en cassettes d'acier avec isolation complémentaire, revêtement en tôle d'acier (CC)</t>
    <phoneticPr fontId="12" type="noConversion"/>
  </si>
  <si>
    <t>Maçonnerie à double paroi crépie, vide de maçonnerie isolé (CC)</t>
    <phoneticPr fontId="12" type="noConversion"/>
  </si>
  <si>
    <t>Paroi intérieure en briques de terre cuite, crépie (CC)</t>
    <phoneticPr fontId="12" type="noConversion"/>
  </si>
  <si>
    <t>Paroi en béton 20cm (CC)</t>
    <phoneticPr fontId="12" type="noConversion"/>
  </si>
  <si>
    <t>Paroi légère en plaques de plâtre cartonné avec parement double (CC)</t>
    <phoneticPr fontId="12" type="noConversion"/>
  </si>
  <si>
    <t>Cloison simple ossature, montants, parement simple en plaques de plâtre cartonné (lignum)</t>
    <phoneticPr fontId="12" type="noConversion"/>
  </si>
  <si>
    <t>Cloison double ossature, montants, parement simple en plaques de plâtre cartonné (lignum)</t>
    <phoneticPr fontId="12" type="noConversion"/>
  </si>
  <si>
    <t>Paroi de séparation en bois (CC)</t>
    <phoneticPr fontId="12" type="noConversion"/>
  </si>
  <si>
    <t>Paroi de séparation en bois massif avec doublage en plaques de plâtre cartonné (lignum)</t>
    <phoneticPr fontId="12" type="noConversion"/>
  </si>
  <si>
    <t>Paroi de séparation en carreaux de plâtre massif (CC)</t>
    <phoneticPr fontId="12" type="noConversion"/>
  </si>
  <si>
    <t>Maçonnerie à double paroi crépie (CC)</t>
    <phoneticPr fontId="12" type="noConversion"/>
  </si>
  <si>
    <t>Solivage, chape et faux-plafond (lignum)</t>
    <phoneticPr fontId="12" type="noConversion"/>
  </si>
  <si>
    <t>Solivage, solives apparentes, plancher simple avec chape humide (lignum)</t>
    <phoneticPr fontId="12" type="noConversion"/>
  </si>
  <si>
    <t>Solivage, solives apparentes, plancher simple avec chape sèche (lignum)</t>
    <phoneticPr fontId="12" type="noConversion"/>
  </si>
  <si>
    <t>Solivage, chape sèche et faux-plafond (lignum)</t>
    <phoneticPr fontId="12" type="noConversion"/>
  </si>
  <si>
    <t>Dalle en béton 22 cm avec isolation thermique EPS intérieure, isolation contre les bruits de choc, chape flottante (CC)</t>
  </si>
  <si>
    <t>Dalle en béton 22 cm avec isolation thermique PUR intérieure, chape flottante (CC)</t>
  </si>
  <si>
    <t>Dalle en béton 22 cm avec isolation contre les bruits de choc, chape flottante (CC)</t>
  </si>
  <si>
    <t>Dalle en béton 22 cm avec isolation thermique extérieure crépie (CC)</t>
    <phoneticPr fontId="12" type="noConversion"/>
  </si>
  <si>
    <t>Plancher en bois massif (BSH) 16cm, isolation contre les bruits de choc, chape flottante (CC)</t>
  </si>
  <si>
    <t>Plancher en éléments à caissons, chape humide et faux-plafond (lignum)</t>
    <phoneticPr fontId="12" type="noConversion"/>
  </si>
  <si>
    <t>Plancher en éléments à caissons, chape humide, pas de faux-plafond (lignum)</t>
    <phoneticPr fontId="12" type="noConversion"/>
  </si>
  <si>
    <t>Plancher à poutres de bois avec isolation ininterrompue en laine de pierre 8cm, revêtement côté extérieur, panneau de particules côté intérieur (CC)</t>
    <phoneticPr fontId="12" type="noConversion"/>
  </si>
  <si>
    <t>Dalle mixte bois-béton, chape humide, pas de faux-plafond (lignum)</t>
    <phoneticPr fontId="12" type="noConversion"/>
  </si>
  <si>
    <t>Plancher à caissons en bois avec isolation thermique intégrée, isolation contre les bruits de choc, panneau de particules (CC)</t>
    <phoneticPr fontId="12" type="noConversion"/>
  </si>
  <si>
    <t>Plancher en bois massif, chape humide et faux-plafond (lignum)</t>
    <phoneticPr fontId="12" type="noConversion"/>
  </si>
  <si>
    <t>Plancher en bois massif, chape humide, pas de faux-plafond (lignum)</t>
    <phoneticPr fontId="12" type="noConversion"/>
  </si>
  <si>
    <t>Plancher en bois massif, chape sèche et faux-plafond (lignum)</t>
    <phoneticPr fontId="12" type="noConversion"/>
  </si>
  <si>
    <t>Dalle en béton 18cm avec coffrage perdu en tôle trapézoïdale, isolation contre les bruits de choc, chape flottante (CC)</t>
    <phoneticPr fontId="12" type="noConversion"/>
  </si>
  <si>
    <t>Structure du toit en bois massif (lignum)</t>
    <phoneticPr fontId="12" type="noConversion"/>
  </si>
  <si>
    <t>Structure du toit en bois, poutres/chevrons avec contreventement en panneau dérivé du bois (lignum)</t>
    <phoneticPr fontId="12" type="noConversion"/>
  </si>
  <si>
    <t>Structure du toit en bois, poutres/chevrons apparents (lignum)</t>
    <phoneticPr fontId="12" type="noConversion"/>
  </si>
  <si>
    <t>Toit plat, dalle en béton 22cm, isolation thermique EPS, lé d'étanchéité bitumineux, couche de protection, accessible (CC)</t>
    <phoneticPr fontId="12" type="noConversion"/>
  </si>
  <si>
    <t>Toit plat, dalle en béton 22cm, isolation thermique EPS, lé d'étanchéité bitumineux, gravier (CC)</t>
    <phoneticPr fontId="12" type="noConversion"/>
  </si>
  <si>
    <t>Toit plat, toit en élément de bois avec isolation thermique intermédiaire, lé d'étanchéité bitumineux, gravier (CC)</t>
    <phoneticPr fontId="12" type="noConversion"/>
  </si>
  <si>
    <t>Toit plat, tôle trapézoïdale, isolation thermique EPS, accessible (CC)</t>
    <phoneticPr fontId="12" type="noConversion"/>
  </si>
  <si>
    <t>Toit à pans inclinés, toit en élément de bois avec isolation thermique intermédiaire (CC)</t>
    <phoneticPr fontId="12" type="noConversion"/>
  </si>
  <si>
    <t>Toit à pans inclinés, chevrons avec isolation thermique intermédiaire et isolation complémentaire (CC)</t>
    <phoneticPr fontId="12" type="noConversion"/>
  </si>
  <si>
    <t>Evacuation d'air: séjour, cuisine et salle de bain</t>
    <phoneticPr fontId="12" type="noConversion"/>
  </si>
  <si>
    <t>Installations électriques, bureau</t>
  </si>
  <si>
    <t>Installations électriques, habitation</t>
  </si>
  <si>
    <t>Sondes géothermiques, pour pompe à chaleur saumure-eau</t>
    <phoneticPr fontId="12" type="noConversion"/>
  </si>
  <si>
    <t>Collecteurs solaires plans, chauffage et eau chaude  maison individuelle</t>
    <phoneticPr fontId="12" type="noConversion"/>
  </si>
  <si>
    <t>Collecteurs solaires plans, eau chaude maison individuelle</t>
    <phoneticPr fontId="12" type="noConversion"/>
  </si>
  <si>
    <t>Collecteurs solaires plans, eau chaude habitat collectif</t>
    <phoneticPr fontId="12" type="noConversion"/>
  </si>
  <si>
    <t>Ventilation bureau (4 m3/h*m2)</t>
    <phoneticPr fontId="12" type="noConversion"/>
  </si>
  <si>
    <t>Ventilation école, réunion (8 m3/h*m2)</t>
    <phoneticPr fontId="12" type="noConversion"/>
  </si>
  <si>
    <t>Ventilation habitation, canaux en tôle, évacuation d'air cuisine inclue</t>
    <phoneticPr fontId="12" type="noConversion"/>
  </si>
  <si>
    <t xml:space="preserve">Ventilation habitation, canaux en PE, évacuation d'air cuisine inclue </t>
    <phoneticPr fontId="12" type="noConversion"/>
  </si>
  <si>
    <t>Ventilation bureau, besoins en air 6 m3/hm2 SRE</t>
    <phoneticPr fontId="12" type="noConversion"/>
  </si>
  <si>
    <t>Installations sanitaires, bureau, degré de complexité élevé, appareils et conduites compris</t>
    <phoneticPr fontId="12" type="noConversion"/>
  </si>
  <si>
    <t>Installations sanitaires, bureau, degré de complexité faible, appareils et conduites compris</t>
    <phoneticPr fontId="12" type="noConversion"/>
  </si>
  <si>
    <t>Installations sanitaires, habitations, appareils et conduites compris</t>
    <phoneticPr fontId="12" type="noConversion"/>
  </si>
  <si>
    <t>Installation photovoltaïque façade</t>
    <phoneticPr fontId="12" type="noConversion"/>
  </si>
  <si>
    <t>Installation photovoltaïque toiture plate</t>
    <phoneticPr fontId="12" type="noConversion"/>
  </si>
  <si>
    <t>Installation photovoltaïque toiture inclinée</t>
    <phoneticPr fontId="12" type="noConversion"/>
  </si>
  <si>
    <t>Diffusion de chaleur par chauffage au sol</t>
    <phoneticPr fontId="12" type="noConversion"/>
  </si>
  <si>
    <t>Diffusion de chaleur par corps de chauffe</t>
    <phoneticPr fontId="12" type="noConversion"/>
  </si>
  <si>
    <t>Diffusion de chaleur par système de chauffage et refroidissement au plafond (pas de faux-plafond en plâtre ou en métal)</t>
    <phoneticPr fontId="12" type="noConversion"/>
  </si>
  <si>
    <t>Production de chaleur, besoins en puissance 10 W/m2</t>
    <phoneticPr fontId="12" type="noConversion"/>
  </si>
  <si>
    <t>Production de chaleur, besoins en puissance 30 W/m2</t>
    <phoneticPr fontId="12" type="noConversion"/>
  </si>
  <si>
    <t>Production de chaleur, besoins en puissance 50 W/m2</t>
    <phoneticPr fontId="12" type="noConversion"/>
  </si>
  <si>
    <t>Distribution de chaleur, administration</t>
    <phoneticPr fontId="12" type="noConversion"/>
  </si>
  <si>
    <t>Distribution et diffusion de chaleur, chauffage à air chaud</t>
    <phoneticPr fontId="12" type="noConversion"/>
  </si>
  <si>
    <t>Distribution de chaleur, habitation</t>
    <phoneticPr fontId="12" type="noConversion"/>
  </si>
  <si>
    <t>Fenêtre en aluminium 3IV (CC)</t>
    <phoneticPr fontId="12" type="noConversion"/>
  </si>
  <si>
    <t>Porte extérieure, bois (CC)</t>
    <phoneticPr fontId="12" type="noConversion"/>
  </si>
  <si>
    <t>Fenêtre en bois 3IV (CC)</t>
    <phoneticPr fontId="12" type="noConversion"/>
  </si>
  <si>
    <t>Fenêtre bois-métal 3IV (CC)</t>
    <phoneticPr fontId="12" type="noConversion"/>
  </si>
  <si>
    <t>Fenêtre en matière synthétique 3IV (CC)</t>
    <phoneticPr fontId="12" type="noConversion"/>
  </si>
  <si>
    <t>Dalle de sol en béton, assainissement par l’intérieur avec chape en ciment, 14cm XPS (CC)</t>
    <phoneticPr fontId="12" type="noConversion"/>
  </si>
  <si>
    <t xml:space="preserve">Isolation thermique extérieure crépie sur maçonnerie, 20cm EPS (CC) </t>
    <phoneticPr fontId="12" type="noConversion"/>
  </si>
  <si>
    <t>Isolation thermique extérieure ventilée sur maçonnerie, 20cm laine de pierre (CC)</t>
    <phoneticPr fontId="12" type="noConversion"/>
  </si>
  <si>
    <t>Isolation intérieure revêtue sur maçonnerie, 22cm laine de pierre (CC)</t>
    <phoneticPr fontId="12" type="noConversion"/>
  </si>
  <si>
    <t>Assainissement par l’extérieur sur maçonnerie contre non chauffé (CC)</t>
    <phoneticPr fontId="12" type="noConversion"/>
  </si>
  <si>
    <t>Assainissement par l’extérieur sur dalle en béton contre non chauffé (CC)</t>
    <phoneticPr fontId="12" type="noConversion"/>
  </si>
  <si>
    <t>Isolation thermique à l’intérieur revêtue sous dalle en béton contre non chauffé (CC)</t>
    <phoneticPr fontId="12" type="noConversion"/>
  </si>
  <si>
    <t>Isolation thermique du noyau plancher à poutres contre non chauffé (CC)</t>
    <phoneticPr fontId="12" type="noConversion"/>
  </si>
  <si>
    <t>Isolation thermique à l’intérieur sous plancher à poutres de bois avec remplissage de scories contre non chauffé (CC)</t>
    <phoneticPr fontId="12" type="noConversion"/>
  </si>
  <si>
    <t>Isolation thermique à l’intérieur sur plancher à poutres de bois isolé contre non chauffé, 16cm laine de pierre (CC)</t>
    <phoneticPr fontId="12" type="noConversion"/>
  </si>
  <si>
    <t>Toiture doublée sur dalle en béton (CC)</t>
    <phoneticPr fontId="12" type="noConversion"/>
  </si>
  <si>
    <t>Toiture inversée / toiture améliorée sur dalle en béton, accessible, 22cm XPS (CC)</t>
    <phoneticPr fontId="12" type="noConversion"/>
  </si>
  <si>
    <t>Toiture doublée sur dalle en béton, accessible (CC)</t>
    <phoneticPr fontId="12" type="noConversion"/>
  </si>
  <si>
    <t>Toit à pans inclinés, assainissement par l’extérieur (CC)</t>
    <phoneticPr fontId="12" type="noConversion"/>
  </si>
  <si>
    <t>Toit à pans inclinés, assainissement du noyau (CC)</t>
    <phoneticPr fontId="12" type="noConversion"/>
  </si>
  <si>
    <t>Aucune valeur limite définie</t>
    <phoneticPr fontId="12" type="noConversion"/>
  </si>
  <si>
    <t>Nouvelle construction</t>
    <phoneticPr fontId="12" type="noConversion"/>
  </si>
  <si>
    <t>Modernisation</t>
    <phoneticPr fontId="12" type="noConversion"/>
  </si>
  <si>
    <t>Calcul</t>
    <phoneticPr fontId="12" type="noConversion"/>
  </si>
  <si>
    <t>Questionnaire_modernisations</t>
  </si>
  <si>
    <t>Sélectionner le standard énergétique souhaité.</t>
    <phoneticPr fontId="12" type="noConversion"/>
  </si>
  <si>
    <t>Sélectionner une entrée du menu déroulant.</t>
    <phoneticPr fontId="12" type="noConversion"/>
  </si>
  <si>
    <t>Saisir la surface de référence énergétique.</t>
    <phoneticPr fontId="12" type="noConversion"/>
  </si>
  <si>
    <t>Valeur de SRE requise entre 0 et 200'000 m2.</t>
    <phoneticPr fontId="12" type="noConversion"/>
  </si>
  <si>
    <t>Saisir la surface.</t>
  </si>
  <si>
    <t>Saisir des valeurs entre 0 et la SRE.</t>
  </si>
  <si>
    <t>Etages non chauffés</t>
    <phoneticPr fontId="12" type="noConversion"/>
  </si>
  <si>
    <t>Saisir le nombre d'étages non chauffés (décimales admises).</t>
    <phoneticPr fontId="12" type="noConversion"/>
  </si>
  <si>
    <t>Saisir des valeurs entre 0 et 20.</t>
    <phoneticPr fontId="12" type="noConversion"/>
  </si>
  <si>
    <t>Hauteur moyenne des locaux</t>
    <phoneticPr fontId="12" type="noConversion"/>
  </si>
  <si>
    <t>Saisir la hauteur moyenne de tous les étages chauffés.</t>
  </si>
  <si>
    <t>Saisir des valeurs entre 0 et 20.</t>
  </si>
  <si>
    <t>Installation PV</t>
    <phoneticPr fontId="12" type="noConversion"/>
  </si>
  <si>
    <t>Saisir la surface nette des absorbeurs photovoltaïques.</t>
  </si>
  <si>
    <t>Saisir des valeurs entre 0 et la surface de plancher multipliée par 2.5.</t>
    <phoneticPr fontId="12" type="noConversion"/>
  </si>
  <si>
    <t>Sondes géothermiques</t>
    <phoneticPr fontId="12" type="noConversion"/>
  </si>
  <si>
    <t>Sélectionner oui, si les sondes géothermiques sont posées à neuf ou remplacées.</t>
    <phoneticPr fontId="12" type="noConversion"/>
  </si>
  <si>
    <t>Sélectionner une entrée du menu déroulant.</t>
  </si>
  <si>
    <t>Distributions de chaleur</t>
    <phoneticPr fontId="12" type="noConversion"/>
  </si>
  <si>
    <t>Sélectionner oui, si les distributions de chaleur sont en majeure partie remplacées ou installées à neuf.</t>
  </si>
  <si>
    <t>Installations de ventilation</t>
    <phoneticPr fontId="12" type="noConversion"/>
  </si>
  <si>
    <t>Sélectionner oui, si les installations de ventilation sont en majeure partie remplacées ou installées à neuf.</t>
  </si>
  <si>
    <t>Installations électriques</t>
    <phoneticPr fontId="12" type="noConversion"/>
  </si>
  <si>
    <t>Sélectionner oui, si les installations électriques sont en majeure partie remplacées ou installées à neuf.</t>
  </si>
  <si>
    <t>Sélectionner dans le menu déroulant le type de plan qui correspond le mieux.</t>
    <phoneticPr fontId="12" type="noConversion"/>
  </si>
  <si>
    <t>Surface de plancher</t>
    <phoneticPr fontId="12" type="noConversion"/>
  </si>
  <si>
    <t>Saisir la surface de plancher (y compris surfaces non chauffées du bâtiment).</t>
    <phoneticPr fontId="12" type="noConversion"/>
  </si>
  <si>
    <t>Valeurs entre 0 et 300'000 requises.</t>
    <phoneticPr fontId="12" type="noConversion"/>
  </si>
  <si>
    <t>Saisir la surface de plancher des sous-sol.</t>
  </si>
  <si>
    <t>Valeurs requises entre 0 et la surface de plancher.</t>
    <phoneticPr fontId="12" type="noConversion"/>
  </si>
  <si>
    <t>Etages enterrés</t>
  </si>
  <si>
    <t>Saisir le nombre d'étages enterrés (décimales admises).</t>
    <phoneticPr fontId="12" type="noConversion"/>
  </si>
  <si>
    <t>Valeurs entre 0 et 10 requises.</t>
    <phoneticPr fontId="12" type="noConversion"/>
  </si>
  <si>
    <t>Installation solaire thermique</t>
    <phoneticPr fontId="12" type="noConversion"/>
  </si>
  <si>
    <t>Saisir la surface nette des absorbeurs.</t>
  </si>
  <si>
    <t>Saisir des valeurs entre 0 et la surface de plancher multipliée par 2.5.</t>
    <phoneticPr fontId="12" type="noConversion"/>
  </si>
  <si>
    <t>Production de chaleur</t>
    <phoneticPr fontId="12" type="noConversion"/>
  </si>
  <si>
    <t>Sélectionner oui, si la production de chaleur est en majeure partie remplacée ou installée à neuf.</t>
    <phoneticPr fontId="12" type="noConversion"/>
  </si>
  <si>
    <t>Diffusion de chaleur</t>
    <phoneticPr fontId="12" type="noConversion"/>
  </si>
  <si>
    <t>Sélectionner oui, si la diffusion de chaleur (corps de chauffe, etc.) est en majeure partie remplacée ou installée à neuf.</t>
    <phoneticPr fontId="12" type="noConversion"/>
  </si>
  <si>
    <t>Installations sanitaires</t>
    <phoneticPr fontId="12" type="noConversion"/>
  </si>
  <si>
    <t>Sélectionner oui, si les installations sanitaires sont en majeure partie remplacées ou installées à neuf.</t>
  </si>
  <si>
    <t>eCCC-Bât</t>
    <phoneticPr fontId="12" type="noConversion"/>
  </si>
  <si>
    <t>Sélectionner la catégorie eCCC-Bât correspondante du menu déroulant.</t>
    <phoneticPr fontId="12" type="noConversion"/>
  </si>
  <si>
    <t>Elément de construction</t>
    <phoneticPr fontId="12" type="noConversion"/>
  </si>
  <si>
    <t>Sélectionner un standard énergétique du menu déroulant.</t>
    <phoneticPr fontId="12" type="noConversion"/>
  </si>
  <si>
    <t>Saisir la surface de l'élément de construction. Ne pas saisir de valeurs dans les champs sur fond rouge (calculation automatique).</t>
  </si>
  <si>
    <t>Saisir des valeurs entières entre 0 et 99'999.</t>
  </si>
  <si>
    <r>
      <t>EGES
kg/m</t>
    </r>
    <r>
      <rPr>
        <vertAlign val="superscript"/>
        <sz val="10"/>
        <rFont val="Arial"/>
        <family val="2"/>
      </rPr>
      <t>2</t>
    </r>
    <r>
      <rPr>
        <sz val="10"/>
        <rFont val="Arial"/>
        <family val="2"/>
      </rPr>
      <t>a</t>
    </r>
  </si>
  <si>
    <r>
      <t>GHGE
kg/m</t>
    </r>
    <r>
      <rPr>
        <vertAlign val="superscript"/>
        <sz val="10"/>
        <rFont val="Arial"/>
        <family val="2"/>
      </rPr>
      <t>2</t>
    </r>
    <r>
      <rPr>
        <sz val="10"/>
        <rFont val="Arial"/>
        <family val="2"/>
      </rPr>
      <t>a</t>
    </r>
  </si>
  <si>
    <r>
      <t>EGS
kg/m</t>
    </r>
    <r>
      <rPr>
        <vertAlign val="superscript"/>
        <sz val="10"/>
        <rFont val="Arial"/>
        <family val="2"/>
      </rPr>
      <t>2</t>
    </r>
    <r>
      <rPr>
        <sz val="10"/>
        <rFont val="Arial"/>
        <family val="2"/>
      </rPr>
      <t>a</t>
    </r>
  </si>
  <si>
    <t>L'exigence Minergie-Eco pour l'énergie grise est</t>
  </si>
  <si>
    <t>The assessment according to SNBS indicator 301.1 yields</t>
  </si>
  <si>
    <t>The reference value for embodied energy according to the SIA Energy Efficiency Path is</t>
  </si>
  <si>
    <t>No requirement for embodied energy</t>
  </si>
  <si>
    <t>The assessment according to SNBS indicator 302.1 yields</t>
  </si>
  <si>
    <t>The reference value for greenhouse gas emissions according to the SIA Energy Efficiency Path is</t>
  </si>
  <si>
    <t>No requirement for greenhouse gas emissions</t>
  </si>
  <si>
    <t>Object size</t>
  </si>
  <si>
    <t>The property is a residential building with an energy reference area of less than 5'000 m2 or another type of building with an energy reference area of less than 2'000 m2.</t>
  </si>
  <si>
    <t>Compactness</t>
  </si>
  <si>
    <t>The compactness of the building (ratio between thermal enveloping surface Ath and energy reference surface AE) has remained the same or improved.</t>
  </si>
  <si>
    <t>Depth of intervention</t>
  </si>
  <si>
    <t>The majority of the existing components will be retained (no core removal, no dismantling to the shell).</t>
  </si>
  <si>
    <t>Construction of external walls (over terrain) and roof</t>
  </si>
  <si>
    <t>The external walls over the terrain and the roof were not modernised or renewed with identical materials (except for additional insulation layers)
OR
The replaced or newly constructed exterior walls consist of one of the following constructions:
- Single-shell solid construction with light cladding (wood, wood-based materials, fibre cement, concrete elements &lt; 8 cm thick, PV panel etc.) 
- Timber frame construction with compact facade or light cladding
- Single-shell solid construction with compact facade</t>
  </si>
  <si>
    <t>Extensions</t>
  </si>
  <si>
    <t>The building volume was not increased (except for enlargements resulting from additional insulation layers)
Or
The floor area of the additional volume is no more than 20% of the existing floor area.</t>
  </si>
  <si>
    <t>Windows</t>
  </si>
  <si>
    <t>The window areas in the façade and roof were increased by a maximum of 20%
And
The frames of replaced or new windows are made of wood or wood-metal.</t>
  </si>
  <si>
    <t>Adaptation of supporting structure</t>
  </si>
  <si>
    <t>The load-bearing components of the building were not changed (except for individual openings of up to 3 m2 in load-bearing walls and reinforcements for earthquake resistance).</t>
  </si>
  <si>
    <t>Please fill out this questionnaire completely.</t>
  </si>
  <si>
    <t>Small residential buildings</t>
  </si>
  <si>
    <t>Administration</t>
  </si>
  <si>
    <t>School</t>
  </si>
  <si>
    <t>Sale</t>
  </si>
  <si>
    <t>Museums</t>
  </si>
  <si>
    <t>Hospital</t>
  </si>
  <si>
    <t>Industry</t>
  </si>
  <si>
    <t>Small school buildings</t>
  </si>
  <si>
    <t>Sports buildings</t>
  </si>
  <si>
    <t>Residential buildings</t>
  </si>
  <si>
    <t>Specialty store</t>
  </si>
  <si>
    <t>Grocery store</t>
  </si>
  <si>
    <t>Error in input field</t>
  </si>
  <si>
    <t>B Preparation</t>
  </si>
  <si>
    <t>C1 Base plate, foundation</t>
  </si>
  <si>
    <t>C2.2 Interior wall construction</t>
  </si>
  <si>
    <t>C4.1 Ceiling</t>
  </si>
  <si>
    <t>C4.3 Balcony</t>
  </si>
  <si>
    <t>C4.4 Roof construction</t>
  </si>
  <si>
    <t>E3 Fixtures to external wall</t>
  </si>
  <si>
    <t>C2.1 Outer wall construction u.T.</t>
  </si>
  <si>
    <t>C2.1 Outer wall construction o.T.</t>
  </si>
  <si>
    <t>D Building services</t>
  </si>
  <si>
    <t>E1 Outer wall cladding u.T.</t>
  </si>
  <si>
    <t>E2 Outer wall cladding o.T.</t>
  </si>
  <si>
    <t>F Roofing</t>
  </si>
  <si>
    <t>G Interior fittings</t>
  </si>
  <si>
    <t>Sie müssen einen Eintrag aus der Liste wählen.</t>
    <phoneticPr fontId="12" type="noConversion"/>
  </si>
  <si>
    <t>Energy standard</t>
  </si>
  <si>
    <t>Select the desired energy standard.</t>
  </si>
  <si>
    <t>You must select an entry from the list.</t>
  </si>
  <si>
    <t>Enter the area.</t>
  </si>
  <si>
    <t>Please enter the energy reference area of the building.</t>
  </si>
  <si>
    <t>The energy reference area must be between 0 and 200'000 m2 .</t>
  </si>
  <si>
    <t>Floors unheated</t>
  </si>
  <si>
    <t>Enter the number of unheated floors (decimal numbers are allowed).</t>
  </si>
  <si>
    <t>You must enter values between 0 and 20.</t>
  </si>
  <si>
    <t>Average room height</t>
  </si>
  <si>
    <t>Enter the average room height over all heated floors.</t>
  </si>
  <si>
    <t>You must enter values between 0 and the energy reference area.</t>
  </si>
  <si>
    <t>PV Installation</t>
  </si>
  <si>
    <t>Enter the net area of the PV absorbers.</t>
  </si>
  <si>
    <t>You must enter values between 0 and 2.5 times the floor area.</t>
  </si>
  <si>
    <t>Select Yes if geothermal probes are to be relocated or replaced.</t>
  </si>
  <si>
    <t>Heat distributions</t>
  </si>
  <si>
    <t>Geothermal probes</t>
  </si>
  <si>
    <t>Select Yes if the majority of the heat distributions are replaced or newly installed.</t>
  </si>
  <si>
    <t>Ventilation systems</t>
  </si>
  <si>
    <t>Select Yes if the majority of the ventilation systems are replaced or newly installed.</t>
  </si>
  <si>
    <t>Electrical installations</t>
  </si>
  <si>
    <t>Select Yes if the majority of the electrical installations are replaced or newly installed.</t>
  </si>
  <si>
    <t>Floor plan type</t>
  </si>
  <si>
    <t>Select the most appropriate floor plan type from the list.</t>
  </si>
  <si>
    <t>Floor space</t>
  </si>
  <si>
    <t>Enter the floor area (including unheated areas in the building).</t>
  </si>
  <si>
    <t>You must enter values between 0 and 300,000.</t>
  </si>
  <si>
    <t>Floor area in basement floors</t>
  </si>
  <si>
    <t>Enter the floor area in the basements.</t>
  </si>
  <si>
    <t>You must enter values between 0 and the value of the floor area.</t>
  </si>
  <si>
    <t>Floors under terrain</t>
  </si>
  <si>
    <t>Enter the number of floors under Terrain (decimal numbers are allowed).</t>
  </si>
  <si>
    <t>You must enter values between 0 and 10.</t>
  </si>
  <si>
    <t>Solar thermal system</t>
  </si>
  <si>
    <t>Enter the net area of the absorbers.</t>
  </si>
  <si>
    <t>Heat generation</t>
  </si>
  <si>
    <t>Select Yes if the heat generation is replaced or newly installed.</t>
  </si>
  <si>
    <t>Heat output</t>
  </si>
  <si>
    <t>Select Yes if the heat output (radiators, etc.) is replaced or newly installed by the majority.</t>
  </si>
  <si>
    <t>Sanitary facilities</t>
  </si>
  <si>
    <t>Select Yes if the majority of the sanitary facilities are replaced or newly installed.</t>
  </si>
  <si>
    <t>Select the appropriate category of the eBK-H from the list.</t>
  </si>
  <si>
    <t>Component</t>
  </si>
  <si>
    <t>Select an energy standard from the list.</t>
  </si>
  <si>
    <t xml:space="preserve">Enter the area of the component. If the input field has a red background, you do not have to enter a value (automatically calculated). </t>
  </si>
  <si>
    <t>Excavated material in landfill (BTK)</t>
  </si>
  <si>
    <t>Excavation pit, storage construction site (BTK)</t>
  </si>
  <si>
    <t>foundation plate 25cm concrete (BTK)</t>
  </si>
  <si>
    <t>Foundation slab 25cm concrete with internal thermal insulation XPS and underlay floor (BTK)</t>
  </si>
  <si>
    <t>Thermal insulation, foundation slab 25cm concrete, cement coating (BTK)</t>
  </si>
  <si>
    <t>Concrete wall 25cm uninsulated, seepage plates (BTK)</t>
  </si>
  <si>
    <t>concrete wall 25cm, external insulation, seepage plates (BTK)</t>
  </si>
  <si>
    <t>Concrete wall 25cm, interior insulation clad, seepage plates (BTK)</t>
  </si>
  <si>
    <t>Solid wood exterior wall, interior facing shell 1-fold planked (lignum)</t>
  </si>
  <si>
    <t>outside wall wooden stand, inside facing shell 1-fold planked (lignum)</t>
  </si>
  <si>
    <t>Brick masonry, external heat insulation ventilated (BTK)</t>
  </si>
  <si>
    <t>Concrete wall 20cm, external thermal insulation EPS plastered (BTK)</t>
  </si>
  <si>
    <t>Single-shell brick masonry, external thermal insulation EPS plastered (BTK)</t>
  </si>
  <si>
    <t>Insulated wooden element wall (BTK)</t>
  </si>
  <si>
    <t>Sheet steel sandwich panels (BTK)</t>
  </si>
  <si>
    <t>Steel cassettes with additional insulation, sheet steel cladding (BTK)</t>
  </si>
  <si>
    <t>Double-shell masonry plastered, core insulation (BTK)</t>
  </si>
  <si>
    <t>Brick interior wall plastered (BTK)</t>
  </si>
  <si>
    <t>concrete wall 20cm (BTK)</t>
  </si>
  <si>
    <t>Lightweight construction wall plasterboard, 2-fold planking (BTK)</t>
  </si>
  <si>
    <t>Partition wall 1-skinned, stand, plasterboard single planked (Lignum)</t>
  </si>
  <si>
    <t>Partition wall 2-layer, stand, plasterboard single planked (Lignum)</t>
  </si>
  <si>
    <t>Partition wall wood (BTK)</t>
  </si>
  <si>
    <t>Partition wall solid wood, with facing layer plasterboard double planked (Lignum)</t>
  </si>
  <si>
    <t>Partition wall solid plaster (BTK)</t>
  </si>
  <si>
    <t>Double-shell brick wall, plastered (BTK)</t>
  </si>
  <si>
    <t>Beam ceiling, wet screed with suspended ceiling (Lignum)</t>
  </si>
  <si>
    <t>beam ceiling, visible beams, simple ceiling with wet screed (lignum)</t>
  </si>
  <si>
    <t>beam ceiling, visible beams, simple ceiling with dry screed (lignum)</t>
  </si>
  <si>
    <t>Beam ceiling, dry screed with suspended ceiling (Lignum)</t>
  </si>
  <si>
    <t>Concrete floor 22 cm with internal thermal insulation EPS, impact sound insulation, underlay floor (BTK)</t>
  </si>
  <si>
    <t>Concrete ceiling 22cm with internal thermal insulation PUR, underlay floor (BTK)</t>
  </si>
  <si>
    <t>Concrete ceiling 22cm with footfall sound insulation and underlay (BTK)</t>
  </si>
  <si>
    <t>Concrete ceiling 22cm with plastered external thermal insulation (BTK)</t>
  </si>
  <si>
    <t>Glued laminated timber solid ceiling 16cm, impact sound insulation, underlay floor (BTK)</t>
  </si>
  <si>
    <t>Hollow box ceiling, wet screed with down. Ceiling (lignum)</t>
  </si>
  <si>
    <t>Hollow box ceiling, wet screed, without descending. Ceiling (lignum)</t>
  </si>
  <si>
    <t>wooden beam ceiling with additional insulation 8cm rock wool, cladding outside, chipboard inside (BTK)</t>
  </si>
  <si>
    <t>Wood-concrete composite ceiling, wet screed without going down. Ceiling (Lignum)</t>
  </si>
  <si>
    <t>Insulated wooden box ceiling, impact sound insulation, chipboard (BTK)</t>
  </si>
  <si>
    <t>Solid wood ceiling, wet screed with going down. Ceiling (Lignum)</t>
  </si>
  <si>
    <t>Solid wood ceiling, wet screed without going down. Ceiling (Lignum)</t>
  </si>
  <si>
    <t>Solid wood ceiling, dry screed with down. Ceiling (Lignum)</t>
  </si>
  <si>
    <t>Trapezoidal sheet metal ceiling with concrete 18cm, impact sound insulation, underlay floor (BTK)</t>
  </si>
  <si>
    <t>Solid wood roof construction (Lignum)</t>
  </si>
  <si>
    <t>Timber roof construction, beam/rafter planked with HWS panel (Lignum)</t>
  </si>
  <si>
    <t>Roof construction wood, beam/rafter visible (Lignum)</t>
  </si>
  <si>
    <t>Flat roof, concrete ceiling 22cm, EPS insulation, bitumen sheeting, walkable surface (BTK)</t>
  </si>
  <si>
    <t>Flat roof, concrete ceiling 22cm, EPS insulation, bitumen sheeting, gravel (BTK)</t>
  </si>
  <si>
    <t>Flat roof, wooden element roof insulated, bitumen sheeting, gravel (BTK)</t>
  </si>
  <si>
    <t>Flat roof, trapezoidal sheet metal, insulation EPS, accessible (BTK)</t>
  </si>
  <si>
    <t>pitched roof, wooden element roof insulated (BTK)</t>
  </si>
  <si>
    <t>Sloping roof, rafter layer with insulation and additional insulation (BTK)</t>
  </si>
  <si>
    <t>Exhaust air system living room, kitchen and bathroom (KBOB)</t>
  </si>
  <si>
    <t>Electrical installations office (KBOB)</t>
  </si>
  <si>
    <t>Housing electrical installations (KBOB)</t>
  </si>
  <si>
    <t>Ground probes, for brine-water heat pump (KBOB)</t>
  </si>
  <si>
    <t>Flat plate collector for space heating and hot water EFH (KBOB)</t>
  </si>
  <si>
    <t>Flat plate collector for hot water EFH (KBOB)</t>
  </si>
  <si>
    <t>Flat plate collector for hot water MFH (KBOB)</t>
  </si>
  <si>
    <t>Office ventilation system (4 m3/h*m2) (KBOB)</t>
  </si>
  <si>
    <t>Ventilation system school, assembly (8 m3/h*m2) (KBOB)</t>
  </si>
  <si>
    <t>Ventilation system living, sheet metal ducts, incl. kitchen exhaust air (KBOB)</t>
  </si>
  <si>
    <t>Ventilation system living, PE ducts, incl. kitchen exhaust air (KBOB)</t>
  </si>
  <si>
    <t>Ventilation system, specific air volume 6 m3/hm2 EBF (KBOB)</t>
  </si>
  <si>
    <t>Sanitary facilities, office, elaborate, incl. apparatuses and pipes (KBOB)</t>
  </si>
  <si>
    <t>Sanitary facilities, office, simple, incl. apparatus and wiring (KBOB)</t>
  </si>
  <si>
    <t>Sanitary facilities, living, incl. apparatus and pipes (KBOB)</t>
  </si>
  <si>
    <t>Solar power system facade (KBOB)</t>
  </si>
  <si>
    <t>Solar power system flat roof (KBOB)</t>
  </si>
  <si>
    <t>Solar power system pitched roof (KBOB)</t>
  </si>
  <si>
    <t>Heat emission via underfloor heating (KBOB)</t>
  </si>
  <si>
    <t>Heat emission via radiators (KBOB)</t>
  </si>
  <si>
    <t>Heat dissipation via radiant cooling ceiling (without plaster or metal ceiling) (KBOB)</t>
  </si>
  <si>
    <t>Heat generator, specific power requirement 10 W/m2 (KBOB)</t>
  </si>
  <si>
    <t>Heat generator, specific power requirement 30 W/m2 (KBOB)</t>
  </si>
  <si>
    <t>Heat generator, specific power requirement 50 W/m2 (KBOB)</t>
  </si>
  <si>
    <t>Heat distribution office building (KBOB)</t>
  </si>
  <si>
    <t>Heat distribution and delivery, air heating (KBOB)</t>
  </si>
  <si>
    <t>Heat distribution in residential buildings (KBOB)</t>
  </si>
  <si>
    <t>Aluminium windows 3-IV (BTK)</t>
  </si>
  <si>
    <t>External door wood (BTK)</t>
  </si>
  <si>
    <t>Wooden windows 3-IV (BTK)</t>
  </si>
  <si>
    <t>Wood-metal windows 3-IV (BTK)</t>
  </si>
  <si>
    <t>Plastic windows 3-IV (BTK)</t>
  </si>
  <si>
    <t>Excavation (SIA 2032)</t>
  </si>
  <si>
    <t>Pile, micro pile (SIA 2032)</t>
  </si>
  <si>
    <t>Pile, in-situ concrete displacement pile (SIA 2032)</t>
  </si>
  <si>
    <t>Pile, prefabricated concrete pile (SIA 2032)</t>
  </si>
  <si>
    <t>Base plate, foundation uninsulated (SIA 2032)</t>
  </si>
  <si>
    <t>Base plate, foundation insulated (SIA 2032)</t>
  </si>
  <si>
    <t>External wall under terrain uninsulated (SIA 2032)</t>
  </si>
  <si>
    <t>External wall insulated under terrain (SIA 2032)</t>
  </si>
  <si>
    <t>Roof under terrain uninsulated (SIA 2032)</t>
  </si>
  <si>
    <t>Roof insulated under terrain (SIA 2032)</t>
  </si>
  <si>
    <t>Average window 3-fold IV, incl. sun protection (SIA 2032)</t>
  </si>
  <si>
    <t>Mean value interior wall load-bearing (with interior plaster) (SIA 2032)</t>
  </si>
  <si>
    <t>Mean value inner wall non-load bearing (with internal plaster) (SIA 2032)</t>
  </si>
  <si>
    <t>Concrete ceiling 25 cm with interior plaster (SIA 2032)</t>
  </si>
  <si>
    <t>Wooden element ceiling (with lower gypsum cladding) (SIA 2032)</t>
  </si>
  <si>
    <t>Wood-concrete composite (with lower plaster cladding) (SIA 2032)</t>
  </si>
  <si>
    <t>Finished floor covering (without substructure) (SIA 2032)</t>
  </si>
  <si>
    <t>Substructure and floor covering (SIA 2032)</t>
  </si>
  <si>
    <t>Insulation against unheated (SIA 2032)</t>
  </si>
  <si>
    <t>Suspended installation ceiling (mean value) (SIA 2032)</t>
  </si>
  <si>
    <t>Balcony incl. fall protection (SIA 2032)</t>
  </si>
  <si>
    <t>Electrical system housing (SIA 2032)</t>
  </si>
  <si>
    <t>Electrical system office (SIA 2032)</t>
  </si>
  <si>
    <t>Solar power system (1 m2 = 0.14 kWp) (SIA 2032)</t>
  </si>
  <si>
    <t>Heat generation (SIA 2032)</t>
  </si>
  <si>
    <t>Geothermal probes (SIA 2032)</t>
  </si>
  <si>
    <t>Solar collectors (SIA 2032)</t>
  </si>
  <si>
    <t>Fin de la fouille, paroi de palplanches (SIA 2032)</t>
  </si>
  <si>
    <t>Pile, micro-pile (SIA 2032)</t>
  </si>
  <si>
    <t>Pieu, pieu de déplacement en béton in situ (SIA 2032)</t>
  </si>
  <si>
    <t>Pile, pieu en béton préfabriqué (SIA 2032)</t>
  </si>
  <si>
    <t>Plaque de base, fondation non isolée (SIA 2032)</t>
  </si>
  <si>
    <t>Mur extérieur sous terrain non isolé (SIA 2032)</t>
  </si>
  <si>
    <t>Toit sous terrain non isolé (SIA 2032)</t>
  </si>
  <si>
    <t>Toiture isolée sous le terrain (SIA 2032)</t>
  </si>
  <si>
    <t>Valeur moyenne des murs porteurs intérieurs (avec enduit intérieur) (SIA 2032)</t>
  </si>
  <si>
    <t>Valeur moyenne paroi intérieure non porteuse (avec enduit intérieur) (SIA 2032)</t>
  </si>
  <si>
    <t>Plafond en béton 25 cm avec enduit intérieur (SIA 2032)</t>
  </si>
  <si>
    <t>Plafond à éléments en bois (avec revêtement inférieur en plâtre) (SIA 2032)</t>
  </si>
  <si>
    <t>Composite bois-béton (avec revêtement inférieur en plâtre) (SIA 2032)</t>
  </si>
  <si>
    <t>Revêtement de sol fini (sans sous-construction) (SIA 2032)</t>
  </si>
  <si>
    <t>Sous-construction et revêtement de sol (SIA 2032)</t>
  </si>
  <si>
    <t>Isolation contre la non-chauffée (SIA 2032)</t>
  </si>
  <si>
    <t>Plafond d'installation suspendu (valeur moyenne) (SIA 2032)</t>
  </si>
  <si>
    <t>Balcon avec protection contre les chutes (SIA 2032)</t>
  </si>
  <si>
    <t>Boîtier de l'installation électrique (SIA 2032)</t>
  </si>
  <si>
    <t>Système électrique bureau (SIA 2032)</t>
  </si>
  <si>
    <t>Installation solaire (1 m2 = 0,14 kWp) (SIA 2032)</t>
  </si>
  <si>
    <t>Production de chaleur (SIA 2032)</t>
  </si>
  <si>
    <t>Sondes géothermiques (SIA 2032)</t>
  </si>
  <si>
    <t>Capteurs solaires (SIA 2032)</t>
  </si>
  <si>
    <t>Système d'évacuation d'air de la cuisine et de la salle de bain (SIA 2032)</t>
  </si>
  <si>
    <t>Plaque de base, fondation isolée (SIA 2032)</t>
  </si>
  <si>
    <t>Paroi extérieure isolée sous terrain (SIA 2032)</t>
  </si>
  <si>
    <t>Scavo (SIA 2032)</t>
  </si>
  <si>
    <t>Pali, micropali (SIA 2032)</t>
  </si>
  <si>
    <t>Palo, palo dislocante in calcestruzzo gettato in opera (SIA 2032)</t>
  </si>
  <si>
    <t>Pali, palo prefabbricato in calcestruzzo (SIA 2032)</t>
  </si>
  <si>
    <t>Piastra di base, fondazione non isolata (SIA 2032)</t>
  </si>
  <si>
    <t>Piastra di base, fondazione isolata (SIA 2032)</t>
  </si>
  <si>
    <t>Muro esterno sotto il terreno non isolato (SIA 2032)</t>
  </si>
  <si>
    <t>Parete esterna isolata sotto il terreno (SIA 2032)</t>
  </si>
  <si>
    <t>Tetto sotto il terreno non isolato (SIA 2032)</t>
  </si>
  <si>
    <t>Tetto isolato sotto il terreno (SIA 2032)</t>
  </si>
  <si>
    <t>Valore medio portante della parete interna (con intonaco interno) (SIA 2032)</t>
  </si>
  <si>
    <t>Valore medio parete interna non portante (con intonaco interno) (SIA 2032)</t>
  </si>
  <si>
    <t>Soffitto in calcestruzzo 25 cm con intonaco interno (SIA 2032)</t>
  </si>
  <si>
    <t>Soffitto a elementi in legno (con rivestimento inferiore in gesso) (SIA 2032)</t>
  </si>
  <si>
    <t>Composito legno-calcestruzzo (con rivestimento inferiore in gesso) (SIA 2032)</t>
  </si>
  <si>
    <t>Pavimento finito (senza sottostruttura) (SIA 2032)</t>
  </si>
  <si>
    <t>Sottostruttura e rivestimento del pavimento (SIA 2032)</t>
  </si>
  <si>
    <t>Isolamento contro i non riscaldati (SIA 2032)</t>
  </si>
  <si>
    <t>Soffitto di installazione sospesa (valore medio) (SIA 2032)</t>
  </si>
  <si>
    <t>Balcone incl. protezione anticaduta (SIA 2032)</t>
  </si>
  <si>
    <t>Alloggiamento dell'impianto elettrico (SIA 2032)</t>
  </si>
  <si>
    <t>Ufficio impianti elettrici (SIA 2032)</t>
  </si>
  <si>
    <t>Impianto solare (1 m2 = 0,14 kWp) (SIA 2032)</t>
  </si>
  <si>
    <t>Generazione di calore (SIA 2032)</t>
  </si>
  <si>
    <t>Sonde geotermiche (SIA 2032)</t>
  </si>
  <si>
    <t>Collettori solari (SIA 2032)</t>
  </si>
  <si>
    <t>Sistema di scarico dell'aria di scarico cucina e bagno (SIA 2032)</t>
  </si>
  <si>
    <t>Fermeture de la fosse du bâtiment, paroi berlinoise (SIA 2032)</t>
  </si>
  <si>
    <t>Chiusura della fossa dell'edificio, parete berlinese (SIA 2032)</t>
  </si>
  <si>
    <t>Building pit closure, retaining wall (SIA 2032)</t>
  </si>
  <si>
    <t>Building pit closure, diaphragm wall (SIA 2032)</t>
  </si>
  <si>
    <t>Baugrubenabschluss, Schlitzwand (SIA 2032)</t>
  </si>
  <si>
    <t>Building pit closure, sheet pile wall (SIA 2032)</t>
  </si>
  <si>
    <t>Fermeture de fosse du bâtiment, paroi de membrane (SIA 2032)</t>
  </si>
  <si>
    <t>Chiusura della fossa dell'edificio, parete del diaframma (SIA 2032)</t>
  </si>
  <si>
    <t>Chiusura della fossa dell'edificio, parete di palancole (SIA 2032)</t>
  </si>
  <si>
    <t>Fenêtre, valeur moyenne, 3 fois IV, y compris protection solaire (SIA 2032)</t>
  </si>
  <si>
    <t>Finestra, valore media, 3 volte IV, incl. protezione solare (SIA 2032)</t>
  </si>
  <si>
    <t>Distribution et dégagement de chaleur pour immeubles résidentiels (SIA 2032)</t>
  </si>
  <si>
    <t>Distribuzione del calore e emissione di calore per edifici residenziali (SIA 2032)</t>
  </si>
  <si>
    <t>Distribuzione del calore e emissione di calore per edifici uffici (SIA 2032)</t>
  </si>
  <si>
    <t>Distribution et dégagement de chaleur pour immeubles de bureaux (SIA 2032)</t>
  </si>
  <si>
    <t>Système de ventilation pour immeubles résidentiels (SIA 2032)</t>
  </si>
  <si>
    <t>Système de ventilation pour immeubles de bureaux (SIA 2032)</t>
  </si>
  <si>
    <t>Installations sanitaires pour immeubles résidentiels (SIA 2032)</t>
  </si>
  <si>
    <t>Installations sanitaires pour immeubles de bureaux (SIA 2032)</t>
  </si>
  <si>
    <t>Sistema di ventilazione per uffici (SIA 2032)</t>
  </si>
  <si>
    <t>Sistema di ventilazione per edifici residenziali (SIA 2032)</t>
  </si>
  <si>
    <t>Impianto sanitario per edifici residenziali (SIA 2032)</t>
  </si>
  <si>
    <t>Impianto sanitario per uffici (SIA 2032)</t>
  </si>
  <si>
    <t>Exhaust air system for kitchen and bathroom (SIA 2032)</t>
  </si>
  <si>
    <t>Ventilation system for residential buildings (SIA 2032)</t>
  </si>
  <si>
    <t>Ventilation system for office buildings (SIA 2032)</t>
  </si>
  <si>
    <t>Sanitary facilities for residential buildings (SIA 2032)</t>
  </si>
  <si>
    <t>Sanitary facilities for office buildings (SIA 2032)</t>
  </si>
  <si>
    <t>Heat distribution and dissipation for residential buildings (SIA 2032)</t>
  </si>
  <si>
    <t>Heat distribution and dissipation for office buildings (SIA 2032)</t>
  </si>
  <si>
    <t>B5:B6</t>
  </si>
  <si>
    <t>Beteiligte</t>
  </si>
  <si>
    <t>Geben Sie eine eindeutige Projektbezeichnung ein.</t>
  </si>
  <si>
    <t>Wählen Sie einen Projekt-Typ aus der Liste.</t>
  </si>
  <si>
    <t>Wählen Sie ein Zertifikat / Standard aus der Liste.</t>
  </si>
  <si>
    <t>Wählen Sie eine Gebäudekategorie aus der Liste.</t>
  </si>
  <si>
    <t>Geben Sie Namen und Kontaktdaten der Beteiligten ein.</t>
  </si>
  <si>
    <t>Sie dürfen pro Zeile maximal 256 Zeichen eingeben.</t>
  </si>
  <si>
    <t>B8:B8</t>
  </si>
  <si>
    <t>B11:B11</t>
  </si>
  <si>
    <t>B13:B13</t>
  </si>
  <si>
    <t>Project name</t>
  </si>
  <si>
    <t>Enter a unique project name.</t>
  </si>
  <si>
    <t>You may enter a maximum of 256 characters per line.</t>
  </si>
  <si>
    <t>Select a project type from the list.</t>
  </si>
  <si>
    <t>Desired certificate</t>
  </si>
  <si>
    <t>Select a certificate/standard from the list.</t>
  </si>
  <si>
    <t>Building category</t>
  </si>
  <si>
    <t>Select a building category from the list.</t>
  </si>
  <si>
    <t>Parties involved</t>
  </si>
  <si>
    <t>Enter the names and contact information of the participants.</t>
  </si>
  <si>
    <t>Nom du projet</t>
  </si>
  <si>
    <t>Entrez un nom de projet unique.</t>
  </si>
  <si>
    <t>Vous pouvez entrer un maximum de 256 caractères par ligne.</t>
  </si>
  <si>
    <t>Sélectionnez un type de projet dans la liste.</t>
  </si>
  <si>
    <t>Vous devez sélectionner une entrée dans la liste.</t>
  </si>
  <si>
    <t>Certificat souhaité</t>
  </si>
  <si>
    <t>Sélectionnez un certificat/une norme dans la liste.</t>
  </si>
  <si>
    <t>Catégorie de bâtiment</t>
  </si>
  <si>
    <t>Sélectionnez une catégorie de bâtiment dans la liste.</t>
  </si>
  <si>
    <t>Parties concernées</t>
  </si>
  <si>
    <t>Entrez les noms et les coordonnées des participants.</t>
  </si>
  <si>
    <t>Nome del progetto</t>
  </si>
  <si>
    <t>Inserire un nome unico per il progetto.</t>
  </si>
  <si>
    <t>È possibile inserire un massimo di 256 caratteri per riga.</t>
  </si>
  <si>
    <t>Tipo di progetto</t>
  </si>
  <si>
    <t>Selezionare un tipo di progetto dall'elenco.</t>
  </si>
  <si>
    <t>Selezionare un certificato/standard dall'elenco.</t>
  </si>
  <si>
    <t>Categoria dell'edificio</t>
  </si>
  <si>
    <t>Selezionare una categoria di edifici dall'elenco.</t>
  </si>
  <si>
    <t>Parti coinvolte</t>
  </si>
  <si>
    <t>Inserire i nomi e le informazioni di contatto dei partecipanti.</t>
  </si>
  <si>
    <t>Superfice di riferimento energ.</t>
  </si>
  <si>
    <t>Boden beh. gegen unbeh./Erdreich</t>
  </si>
  <si>
    <t>Floor heated against unheated</t>
  </si>
  <si>
    <t>Pavimento risc. contro non risc.</t>
  </si>
  <si>
    <t>Plancher chauffé contre n.ch.</t>
  </si>
  <si>
    <t>Geschossfläche in Untergesch.</t>
  </si>
  <si>
    <t>Surface plancher sous-sols</t>
  </si>
  <si>
    <t>B15:B16</t>
  </si>
  <si>
    <t>C18:G42</t>
  </si>
  <si>
    <t>Kontrolle der Textlängen</t>
  </si>
  <si>
    <t>Floor slab, interior renovation with cement coating, 14cm XPS (BTK)</t>
  </si>
  <si>
    <t>Compact facade on masonry, 20cm EPS (BTK)</t>
  </si>
  <si>
    <t>Ventilated external thermal insulation on masonry, 20cm rock wool (BTK)</t>
  </si>
  <si>
    <t>Interior insulation with cladding on masonry, 22cm rock wool (BTK)</t>
  </si>
  <si>
    <t>Interior insulation on insulated beam ceiling to unheated, 16cm rock wool (BTK)</t>
  </si>
  <si>
    <t>Double roof on concrete ceiling (BTK)</t>
  </si>
  <si>
    <t>Reverse roof / plus roof on concrete ceiling, 22cm XPS (BTK)</t>
  </si>
  <si>
    <t>Double roof walkable on concrete ceiling (BTK)</t>
  </si>
  <si>
    <t>Exterior renovation of uninsulated pitched roof (BTK)</t>
  </si>
  <si>
    <t>Core refurbishment non-insulated pitched roof (BTK)</t>
  </si>
  <si>
    <t>Exterior refurbishment on masonry to unheated (BTK)</t>
  </si>
  <si>
    <t>External insulation on concrete ceiling to unheated (BTK)</t>
  </si>
  <si>
    <t>Internal insulation with ceiling cladding under insulated concrete ceiling to unheated (BTK)</t>
  </si>
  <si>
    <t>Core insulation beam ceiling to unheated (BTK)</t>
  </si>
  <si>
    <t>Internal insulation under beam ceiling with slag filling to unheated (BTK)</t>
  </si>
  <si>
    <t>R_BKP_B</t>
  </si>
  <si>
    <t>R_BKP_C211</t>
  </si>
  <si>
    <t>R_BKP_C43</t>
  </si>
  <si>
    <t>R_BKP_G</t>
  </si>
  <si>
    <t>Wählen Sie ein Bauteil aus der Liste. Achtung: wenn das Feld gelb ist, müssen Sie das Bauteil neu auswählen.</t>
  </si>
  <si>
    <t>Sélectionnez un élément de construction du menu déroulant. Attention: si le champs a un fond jaune, sélectionner l'élément de construction encore une fois.</t>
  </si>
  <si>
    <t>GE GW1</t>
  </si>
  <si>
    <t>GE GW2</t>
  </si>
  <si>
    <t>THGE GW1</t>
  </si>
  <si>
    <t>THGE GW2</t>
  </si>
  <si>
    <t>Basisgrenzwerte ECO Modernis. GE</t>
  </si>
  <si>
    <t>Aussenwände in kg CO2/m2BTFa</t>
  </si>
  <si>
    <t>Neubau in kg CO2/m2a</t>
  </si>
  <si>
    <t>Dächer in kg CO2/m2BTFa</t>
  </si>
  <si>
    <t>Bodenplatte in kg CO2/m2BTFa</t>
  </si>
  <si>
    <t>Fenster/Aussentüre in kg CO2/m2BTFa</t>
  </si>
  <si>
    <t>Innenbauteile in kg CO2/m2AEa</t>
  </si>
  <si>
    <t>Gebäudetechnik in kg CO2/m2AEa</t>
  </si>
  <si>
    <t>Basisgrenzwerte ECO Modernis. THGE</t>
  </si>
  <si>
    <t>MxEcoGWPE_M</t>
  </si>
  <si>
    <t>MxEcoGWPE_N</t>
  </si>
  <si>
    <t>MxEcoGWTH_M</t>
  </si>
  <si>
    <t>MxEcoGWTH_N</t>
  </si>
  <si>
    <t>Basisgrenzwerte ECO Neubauten GE</t>
  </si>
  <si>
    <t>Basisgrenzwerte ECO Neubauten THGE</t>
  </si>
  <si>
    <t>GWPEpv</t>
  </si>
  <si>
    <t>GWPEthermie</t>
  </si>
  <si>
    <t>GWPEerdsonde1</t>
  </si>
  <si>
    <t>GWPEerdsonde2</t>
  </si>
  <si>
    <t>GWTHpv</t>
  </si>
  <si>
    <t>GWTHthermie</t>
  </si>
  <si>
    <t>GWTHerdsonde1</t>
  </si>
  <si>
    <t>GWTHerdsonde2</t>
  </si>
  <si>
    <t>PV Kollektoren PE</t>
  </si>
  <si>
    <t>Thermische Kollektoren PE</t>
  </si>
  <si>
    <t>Erdsonden MuKEn/Minergie PE</t>
  </si>
  <si>
    <t>Erdsonden Minergie-P/-A PE</t>
  </si>
  <si>
    <t>PV Kollektoren THGE</t>
  </si>
  <si>
    <t>Thermische Kollektoren THGE</t>
  </si>
  <si>
    <t>Erdsonden MuKEn/Minergie THGE</t>
  </si>
  <si>
    <t>Erdsonden Minergie-P/-A THGE</t>
  </si>
  <si>
    <t>GWPE1unbeh</t>
  </si>
  <si>
    <t>GWPE2unbeh</t>
  </si>
  <si>
    <t>GW1 PE GF Unbeheizt</t>
  </si>
  <si>
    <t>GW2 PE GF Unbeheizt</t>
  </si>
  <si>
    <t>GWTH1unbeh</t>
  </si>
  <si>
    <t>GWTH2unbeh</t>
  </si>
  <si>
    <t>GW1 THGE GF Unbeheizt</t>
  </si>
  <si>
    <t>GW2 THGE GF Unbeheizt</t>
  </si>
  <si>
    <t>Steigerungswerte für unbeheizte Geschossflächen</t>
  </si>
  <si>
    <t>Steigerungswerte für Haustechnik</t>
  </si>
  <si>
    <t>MJ/m2 bzw. kg CO2/m2</t>
  </si>
  <si>
    <t>Umrechnungs- und Zuschlagsfaktoren</t>
  </si>
  <si>
    <t>Faktor MEP</t>
  </si>
  <si>
    <t>Zuschlagsfaktor für Bauteile Minergie-P</t>
  </si>
  <si>
    <t>Abminderungsfaktor für Wärmeerzeugung Minergie-P</t>
  </si>
  <si>
    <t>FaktorMEP_WE</t>
  </si>
  <si>
    <t>FaktorPE_TH_SNBS</t>
  </si>
  <si>
    <t>FaktorPE_TH_ECO_N</t>
  </si>
  <si>
    <t>FaktorPE_TH_ECO_M</t>
  </si>
  <si>
    <t>Umrechnungsfaktor kWh PE zu kg CO2</t>
  </si>
  <si>
    <t>Umrechnungsfaktor MJ PE zu kg CO2 für ME-ECO Neubauten</t>
  </si>
  <si>
    <t>Umrechnungsfaktor MJ PE zu kg CO2 für ME-ECO Modernisierung</t>
  </si>
  <si>
    <t>Minergie-Eco Grenzwert</t>
  </si>
  <si>
    <t>Minergie-Eco valeur limite</t>
  </si>
  <si>
    <t>Minergie-Eco valore limite</t>
  </si>
  <si>
    <t>Minergie-Eco limiting value</t>
  </si>
  <si>
    <t>Die Anforderung von Minergie-Eco an die Treibhausgasemissionen ist</t>
  </si>
  <si>
    <t>L'exigence Minergie-Eco pour les émissions de gaz à effet de serre est</t>
  </si>
  <si>
    <t>L'esigenza Minergie-Eco sull' energia grigia è</t>
  </si>
  <si>
    <t>L'esigenza Minergie-Eco sull' emissioni di gas serra è</t>
  </si>
  <si>
    <t>The requirement of Minergie-Eco regarding GHG emissions is</t>
  </si>
  <si>
    <t xml:space="preserve">The requirement of Minergie-Eco regarding embodied energy is </t>
  </si>
  <si>
    <t>AusmSonde</t>
  </si>
  <si>
    <t>Treibhausgasemissionen</t>
  </si>
  <si>
    <t>FaktorSondenME</t>
  </si>
  <si>
    <t>Umrechnungsfaktor EBF zu Sondenlänge, Annahmen 25W/m2 Heizleistung, 35 W/m Sonde</t>
  </si>
  <si>
    <t>M17</t>
  </si>
  <si>
    <t xml:space="preserve">Ausmass
</t>
  </si>
  <si>
    <t xml:space="preserve">Dimension
</t>
  </si>
  <si>
    <t xml:space="preserve">Dimensioni
</t>
  </si>
  <si>
    <t xml:space="preserve">Amount
</t>
  </si>
  <si>
    <t>Einh.</t>
  </si>
  <si>
    <t>Unit</t>
  </si>
  <si>
    <t>Unité</t>
  </si>
  <si>
    <t>Unità</t>
  </si>
  <si>
    <t>GHGE
kg/m2</t>
  </si>
  <si>
    <t>EPnr
kWh/m2</t>
  </si>
  <si>
    <t>Installation PV (surface d'absorbeurs)</t>
  </si>
  <si>
    <t>Installation solaire therm. (surface d'absorb.)</t>
  </si>
  <si>
    <t>Impianto solare term. (superficie assorb.)</t>
  </si>
  <si>
    <t>Installation de ventilation</t>
  </si>
  <si>
    <t xml:space="preserve">Installation sanitaires </t>
  </si>
  <si>
    <t>Installation électrique</t>
  </si>
  <si>
    <t>Production de chaleur</t>
  </si>
  <si>
    <t>Distribution de chaleur</t>
  </si>
  <si>
    <t>Diffusion de chaleur</t>
  </si>
  <si>
    <t>Impianto sanitario</t>
  </si>
  <si>
    <t>Impianto elettrico</t>
  </si>
  <si>
    <t>Generazione di calore</t>
  </si>
  <si>
    <t>Distribuzione di calore</t>
  </si>
  <si>
    <t>Emissione di calore</t>
  </si>
  <si>
    <t>Plancher chauffé vs. non chauffé/terre</t>
  </si>
  <si>
    <t>Impianto FV (superficie captante)</t>
  </si>
  <si>
    <t>SNBS Grenzwerte siehe SNBS Manual</t>
  </si>
  <si>
    <t>Valori limite SNBS vedi manuale SNBS</t>
  </si>
  <si>
    <t>For SNBS limiting values, see manual SNBS</t>
  </si>
  <si>
    <t>SNBS valeurs limites voir manuel SNBS</t>
  </si>
  <si>
    <t>Berechnung Graue Energie (PEne) und Treibhausgasemissionen (THGE)</t>
  </si>
  <si>
    <t>Calcul de l'énergie grise (EPnr) et des émissions de gaz à effet de serre (EGES)</t>
  </si>
  <si>
    <t>Calcolo dell'energia grigia (EPnr) e delle emissioni di gas serra (EGS)</t>
  </si>
  <si>
    <t>EGS
kg/m2</t>
  </si>
  <si>
    <t>EGES
kg/m2</t>
  </si>
  <si>
    <t>Grundrisstyp (Menge Innenwände)</t>
  </si>
  <si>
    <t>Tipologia pianta (Quantità di pareti interne)</t>
  </si>
  <si>
    <t>Floorplan type (quantity of internal walls)</t>
  </si>
  <si>
    <t>Type de plan (quantité de parois intérieures)</t>
  </si>
  <si>
    <t>Numero normale</t>
  </si>
  <si>
    <t>Poche (per es. loft)</t>
  </si>
  <si>
    <t>Molte (per es. hotel)</t>
  </si>
  <si>
    <t>Few (e.g. loft)</t>
  </si>
  <si>
    <t xml:space="preserve">Normal number </t>
  </si>
  <si>
    <t>Many (e.g. hotel)</t>
  </si>
  <si>
    <t>Wenig (z.B. Loft)</t>
  </si>
  <si>
    <t>Viel (z.B. Hotel)</t>
  </si>
  <si>
    <t>Normal</t>
  </si>
  <si>
    <t>Peu (p. ex. loft)</t>
  </si>
  <si>
    <t xml:space="preserve">Nombre usuel </t>
  </si>
  <si>
    <t>Nombre élevé (p. ex. hôtel)</t>
  </si>
  <si>
    <t>Il s'agit soit d'un immeuble locatif avec une surface de référence énergétique (SRE) de moins de 5'000 m2 ou d'une autre catégorie de bâtiment avec une SRE de moins de 2'000 m2.</t>
  </si>
  <si>
    <t>Les éléments porteurs du bâtiment ne sont pas modifiés (excepté des percements isolés jusqu'à une surface de 3 m2 dans les parois porteurs ainsi que des renforts parasismiques).</t>
  </si>
  <si>
    <t>C4.4 Construction du toit</t>
  </si>
  <si>
    <t>E3 Fenêtres, portes, disp. de prot.</t>
  </si>
  <si>
    <t>C2.1 Parois porteuses ext. c. terre</t>
  </si>
  <si>
    <t>C2.1 Parois porteuses ext. h. terr.</t>
  </si>
  <si>
    <t>C 2.1 Parete grezza est. c. terra</t>
  </si>
  <si>
    <t>C 2.1 Parete grezza est. fuori terra</t>
  </si>
  <si>
    <t>E1 Revêtements de murs c. terre</t>
  </si>
  <si>
    <t>E 1 Rivestimento della parete esterna c. terra</t>
  </si>
  <si>
    <t>E 2 Rivestimento della parete est. fuori terra</t>
  </si>
  <si>
    <t>EPnr (én. grise)
kWh/m2a</t>
  </si>
  <si>
    <t>EPnr (en. grigia)
kWh/m2a</t>
  </si>
  <si>
    <t>NRE (Embod. En.)
kWh/m2a</t>
  </si>
  <si>
    <t>Note</t>
  </si>
  <si>
    <t>Grade</t>
  </si>
  <si>
    <t>Grado</t>
  </si>
  <si>
    <t>SNBS_Note</t>
  </si>
  <si>
    <t>Valori progetto</t>
  </si>
  <si>
    <t>Specific values</t>
  </si>
  <si>
    <t>A31</t>
  </si>
  <si>
    <t>Analog SIA 2040</t>
  </si>
  <si>
    <t>K18:K42</t>
  </si>
  <si>
    <t>Dieses Feld dient zur Anzeige von Links und erlaubt keine Eingaben.</t>
  </si>
  <si>
    <t>Klicken Sia auf den Link, um Genaueres über das gewählte Bauteil zu erfahren.</t>
  </si>
  <si>
    <t>Kein Eingabefeld</t>
  </si>
  <si>
    <t>Lien</t>
  </si>
  <si>
    <t>Cliquez sur le lien pour en savoir plus sur le composant sélectionné.</t>
  </si>
  <si>
    <t>Aucun champ de saisie</t>
  </si>
  <si>
    <t>Cette champ est utilisée pour afficher les liens et ne permet aucune entrée.</t>
  </si>
  <si>
    <t>Cliccare sul link per saperne di più sul componente selezionato.</t>
  </si>
  <si>
    <t>Nessun campo di ingresso</t>
  </si>
  <si>
    <t>Questo campo viene utilizzato per visualizzare i link e non consente alcuna immissione.</t>
  </si>
  <si>
    <t>Click on the link to learn more about the selected component.</t>
  </si>
  <si>
    <t>No input field</t>
  </si>
  <si>
    <t>This field is used to display links and does not allow any entries.</t>
  </si>
  <si>
    <t>TableNames</t>
  </si>
  <si>
    <t>Holzkonstruktion geneigtes Dach, gedämmt (SIA 2032)</t>
  </si>
  <si>
    <t>Costruzione in legno, tetto a falda, isolato (SIA 2032)</t>
  </si>
  <si>
    <t>Wooden construction, pitched roof, insulated (SIA 2032)</t>
  </si>
  <si>
    <t>Holzkonstruktion geneigtes Dach, ungedämmt (SIA 2032)</t>
  </si>
  <si>
    <t>Construction en bois, toit en pente, non isolé (SIA 2032)</t>
  </si>
  <si>
    <t>Construction en bois, toit en pente, isolé (SIA 2032)</t>
  </si>
  <si>
    <t>Costruzione in legno, tetto a falda, non isolato (SIA 2032)</t>
  </si>
  <si>
    <t>Wooden construction, pitched roof, uninsulated (SIA 2032)</t>
  </si>
  <si>
    <t>Profilblech Verbunddecke, gedämmt (SIA 2032)</t>
  </si>
  <si>
    <t>Plafond composite en tôle profilée, isolé (SIA 2032)</t>
  </si>
  <si>
    <t>Soffitto in lamiera profilata composita, isolato (SIA 2032)</t>
  </si>
  <si>
    <t>Profiled sheet composite ceiling, insulated (SIA 2032)</t>
  </si>
  <si>
    <t>Holzdecke mit unterer Gipsbekleidung, gedämmt (SIA 2032)</t>
  </si>
  <si>
    <t>Plafond en bois avec revêtement inférieur en plâtre, isolé (SIA 2032)</t>
  </si>
  <si>
    <t>Soffitto in legno con rivestimento inferiore in gesso, isolato (SIA 2032)</t>
  </si>
  <si>
    <t>Wooden ceiling with lower plaster covering, insulated (SIA 2032)</t>
  </si>
  <si>
    <t>Betondecke 25 cm mit Innenputz, gedämmt (SIA 2032)</t>
  </si>
  <si>
    <t>Plafond en béton 25 cm avec enduit intérieur, isolé (SIA 2032)</t>
  </si>
  <si>
    <t>Soffitto in calcestruzzo 25 cm con intonaco interno, isolato (SIA 2032)</t>
  </si>
  <si>
    <t>Concrete ceiling 25 cm with interior plaster, insulated (SIA 2032)</t>
  </si>
  <si>
    <t>Betondecke 40 cm mit Innenputz, gedämmt (SIA 2032)</t>
  </si>
  <si>
    <t>Plafond en béton 40 cm avec enduit intérieur, isolé (SIA 2032)</t>
  </si>
  <si>
    <t>Soffitto in calcestruzzo 40 cm con intonaco interno, isolato (SIA 2032)</t>
  </si>
  <si>
    <t>Concrete ceiling 40 cm with interior plaster, insulated (SIA 2032)</t>
  </si>
  <si>
    <t>Werte</t>
  </si>
  <si>
    <t>External wall construction brick wall with internal plaster,double shell (SIA 2032)</t>
  </si>
  <si>
    <t>Muro in mattoni con intonaco interno, parete a doppio guscio (SIA 2032)</t>
  </si>
  <si>
    <t>External wall construction brick wall with internal plaster, plastered external insulation (SIA 2032)</t>
  </si>
  <si>
    <t>External wall construction brick wall with internal plaster, cladding fibre cement/stone (SIA 2032)</t>
  </si>
  <si>
    <t>External wall construction brick wall with internal plaster, cladding wood (SIA 2032)</t>
  </si>
  <si>
    <t>External wall construction brick wall with internal plaster, cladding metal/glass (SIA 2032)</t>
  </si>
  <si>
    <t>Mur en béton avec enduit intérieur, parois extérieur en briques (SIA 2032)</t>
  </si>
  <si>
    <t>Mur en béton avec enduit intérieur, isolation extérieure crépie (SIA 2032)</t>
  </si>
  <si>
    <t>Parete in calcestruzzo con intonaco interno, parete esterna in mattoni (SIA 2032)</t>
  </si>
  <si>
    <t>Parete in calcestruzzo con intonaco interno, isolamento esterno intonacato (SIA 2032)</t>
  </si>
  <si>
    <t>Concrete wall with internal plaster, cladding fibre cement/stone (SIA 2032)</t>
  </si>
  <si>
    <t>Concrete wall with internal plaster, cladding metal/glass (SIA 2032)</t>
  </si>
  <si>
    <t>Concrete wall with internal plaster, plastered external insulation (SIA 2032)</t>
  </si>
  <si>
    <t>Wood construction, with inner plaster covering, cladding fibre cement/stone (SIA 2032)</t>
  </si>
  <si>
    <t>Wood construction, with inner plaster covering, cladding wood (SIA 2032)</t>
  </si>
  <si>
    <t>Wood construction, with inner plaster covering, cladding metal/glass (SIA 2032)</t>
  </si>
  <si>
    <t>Insulating single brick masonry, with internal and external plaster (SIA 2032)</t>
  </si>
  <si>
    <t>Maçonnerie isolante en briques avec enduit intérieur et extérieur (SIA 2032)</t>
  </si>
  <si>
    <t>Muratura monoblocco isolante, con intonaco interno e esterno (SIA 2032)</t>
  </si>
  <si>
    <t>Insulating single brick masonry, with internal plaster, plastered external insulation (SIA 2032)</t>
  </si>
  <si>
    <t>Grille de colonnes avec système de façade aluminium/verre (SIA 2032)</t>
  </si>
  <si>
    <t>Griglia a colonna con sistema di facciata alluminio/vetro (SIA 2032)</t>
  </si>
  <si>
    <t>Column grid with aluminum/glass facade system (SIA 2032)</t>
  </si>
  <si>
    <t>Betonwand mit Innenputz, äussere Backsteinverkleidung  (SIA 2032)</t>
  </si>
  <si>
    <t>Betonwand mit Innenputz, verputzte Aussenwärmedämmung (SIA 2032)</t>
  </si>
  <si>
    <t>Backsteinwand mit Innenputz, Zweischalenmauerwerk (SIA 2032)</t>
  </si>
  <si>
    <t>Backsteinwand mit Innenputz, hinterlüftete Bekleidung Faserzement/Naturstein (SIA 2032)</t>
  </si>
  <si>
    <t>Backsteinwand mit Innenputz, hinterlüftete Bekleidung Holz (SIA 2032)</t>
  </si>
  <si>
    <t>Backsteinwand mit Innenputz, hinterlüftete Bekleidung Metall/Glas (SIA 2032)</t>
  </si>
  <si>
    <t>Backsteinwand mit Innenputz, verputzte Aussenwärmedämmung (SIA 2032)</t>
  </si>
  <si>
    <t>Holzwand mit innerer Gipsbekleidung, hinterlüftete Bekleidung Faserzement/Naturstein (SIA 2032)</t>
  </si>
  <si>
    <t>Holzwand mit innerer Gipsbekleidung, hinterlüftete Bekleidung Holz (SIA 2032)</t>
  </si>
  <si>
    <t>Holzwand mit innerer Gipsbekleidung, hinterlüftete Bekleidung Metall/Glas (SIA 2032)</t>
  </si>
  <si>
    <t>Einsteinmauerwerk dämmend, mit Innenputz und Aussenputz (SIA 2032)</t>
  </si>
  <si>
    <t>Einsteinmauerwerk dämmend, mit Innenputz und verputzter Aussenwärmedämmung (SIA 2032)</t>
  </si>
  <si>
    <t>Stützenraster, Fassadensystem Alu/Glas (SIA 2032)</t>
  </si>
  <si>
    <t>Mur en briques avec enduit intérieur, double paroi (SIA 2032)</t>
  </si>
  <si>
    <t>Mur en briques avec enduit intérieur, isolation extérieure crépie (SIA 2032)</t>
  </si>
  <si>
    <t>Betonwand mit Innenputz, hinterlüftete Bekleidung Faserzement/Naturstein (SIA 2032)</t>
  </si>
  <si>
    <t>Betonwand mit Innenputz, hinterlüftete Bekleidung Metall/Glas (SIA 2032)</t>
  </si>
  <si>
    <t>Concrete wall with internal plaster, external brick cladding (SIA 2032)</t>
  </si>
  <si>
    <t>2.004</t>
  </si>
  <si>
    <t>Fehler in Bauteildaten korrigiert, Elemente E2 und F zu Wand und Dach zugeschlagen</t>
  </si>
  <si>
    <t>Parete in calcestruzzo con intonaco interno, rivest. in fibrocemento/pietra (SIA 2032)</t>
  </si>
  <si>
    <t>Parete in calcestruzzo con intonaco interno, rivest. in metallo/vetro (SIA 2032)</t>
  </si>
  <si>
    <t>Muro in mattoni con intonaco interno, rivest. in fibrocemento/pietra (SIA 2032)</t>
  </si>
  <si>
    <t>Muro in mattoni con intonaco interno, rivest. in legno (SIA 2032)</t>
  </si>
  <si>
    <t>Muro in mattoni con intonaco interno, rivest. in metallo/vetro (SIA 2032)</t>
  </si>
  <si>
    <t>Muro in mattoni con intonaco interno, isolamento esterno intonacato (SIA 2032)</t>
  </si>
  <si>
    <t>Mur en béton avec enduit intérieur, revêtement en fibrociment/pierre (SIA 2032)</t>
  </si>
  <si>
    <t>Mur en béton avec enduit intérieur, revêtement en métal/verre (SIA 2032)</t>
  </si>
  <si>
    <t>Mur en briques avec enduit intérieur, revêtement en fibrociment/pierre (SIA 2032)</t>
  </si>
  <si>
    <t>Mur en briques avec enduit intérieur, revêtementen bois (SIA 2032)</t>
  </si>
  <si>
    <t>Mur en briques avec enduit intérieur, revêtement en métal/verre (SIA 2032)</t>
  </si>
  <si>
    <t>Mur en bois, revêtement int. en plâtre, revêtement ext. en fibrociment/pierre (SIA 2032)</t>
  </si>
  <si>
    <t>Mur en bois, revêtement int. en plâtre, revêtement ext. en bois (SIA 2032)</t>
  </si>
  <si>
    <t>Mur en bois, revêtement int. en plâtre, revêtement ext. en métal/verre (SIA 2032)</t>
  </si>
  <si>
    <t>Maçonnerie isolante en briques avec enduit intérieur, isolation ext. crépie (SIA 2032)</t>
  </si>
  <si>
    <t>Muro in legno, rivest. interno in gesso, rivest. esterno in fibrocemento/pietra (SIA 2032)</t>
  </si>
  <si>
    <t>Muro in legno, rivest. interno in gesso, rivest. esterno in legno (SIA 2032)</t>
  </si>
  <si>
    <t>Muro in legno, rivest. interno in gesso, rivest. esterno in metallo/vetro (SIA 2032)</t>
  </si>
  <si>
    <t>Muratura monoblocco isolante, con intonaco int., isolamento est. intonacato  (SIA 2032)</t>
  </si>
  <si>
    <t>Cassette in lamiera con isol. aggiuntivo, rivest. in lamiera d'acciaio (BTK)</t>
  </si>
  <si>
    <t>Texte!$B$248</t>
  </si>
  <si>
    <t>Texte!$B$250</t>
  </si>
  <si>
    <t>Texte!$B$249</t>
  </si>
  <si>
    <t>Texte!$B$251</t>
  </si>
  <si>
    <t>Texte!$B$163</t>
  </si>
  <si>
    <t>Texte!$B$164</t>
  </si>
  <si>
    <t>Texte!$B$252</t>
  </si>
  <si>
    <t>Texte!$B$253</t>
  </si>
  <si>
    <t>Texte!$B$254</t>
  </si>
  <si>
    <t>Texte!$B$256</t>
  </si>
  <si>
    <t>Texte!$B$255</t>
  </si>
  <si>
    <t>Texte!$B$165</t>
  </si>
  <si>
    <t>Texte!$B$166</t>
  </si>
  <si>
    <t>Texte!$B$167</t>
  </si>
  <si>
    <t>Texte!$B$258</t>
  </si>
  <si>
    <t>Texte!$B$257</t>
  </si>
  <si>
    <t>Texte!$B$168</t>
  </si>
  <si>
    <t>Texte!$B$169</t>
  </si>
  <si>
    <t>Texte!$B$170</t>
  </si>
  <si>
    <t>Texte!$B$171</t>
  </si>
  <si>
    <t>Texte!$B$172</t>
  </si>
  <si>
    <t>Texte!$B$265</t>
  </si>
  <si>
    <t>Texte!$B$266</t>
  </si>
  <si>
    <t>Texte!$B$267</t>
  </si>
  <si>
    <t>Texte!$B$268</t>
  </si>
  <si>
    <t>Texte!$B$269</t>
  </si>
  <si>
    <t>Texte!$B$261</t>
  </si>
  <si>
    <t>Texte!$B$262</t>
  </si>
  <si>
    <t>Texte!$B$263</t>
  </si>
  <si>
    <t>Texte!$B$264</t>
  </si>
  <si>
    <t>Texte!$B$173</t>
  </si>
  <si>
    <t>Texte!$B$174</t>
  </si>
  <si>
    <t>Texte!$B$175</t>
  </si>
  <si>
    <t>Texte!$B$176</t>
  </si>
  <si>
    <t>Texte!$B$177</t>
  </si>
  <si>
    <t>Texte!$B$178</t>
  </si>
  <si>
    <t>Texte!$B$179</t>
  </si>
  <si>
    <t>Texte!$B$180</t>
  </si>
  <si>
    <t>Texte!$B$181</t>
  </si>
  <si>
    <t>Texte!$B$182</t>
  </si>
  <si>
    <t>Texte!$B$283</t>
  </si>
  <si>
    <t>Texte!$B$282</t>
  </si>
  <si>
    <t>Texte!$B$183</t>
  </si>
  <si>
    <t>Texte!$B$184</t>
  </si>
  <si>
    <t>Texte!$B$185</t>
  </si>
  <si>
    <t>Texte!$B$186</t>
  </si>
  <si>
    <t>Texte!$B$187</t>
  </si>
  <si>
    <t>Texte!$B$188</t>
  </si>
  <si>
    <t>Texte!$B$189</t>
  </si>
  <si>
    <t>Texte!$B$190</t>
  </si>
  <si>
    <t>Texte!$B$191</t>
  </si>
  <si>
    <t>Texte!$B$192</t>
  </si>
  <si>
    <t>Texte!$B$193</t>
  </si>
  <si>
    <t>Texte!$B$194</t>
  </si>
  <si>
    <t>Texte!$B$195</t>
  </si>
  <si>
    <t>Texte!$B$196</t>
  </si>
  <si>
    <t>Texte!$B$284</t>
  </si>
  <si>
    <t>Texte!$B$197</t>
  </si>
  <si>
    <t>Texte!$B$198</t>
  </si>
  <si>
    <t>Texte!$B$199</t>
  </si>
  <si>
    <t>Texte!$B$200</t>
  </si>
  <si>
    <t>Texte!$B$286</t>
  </si>
  <si>
    <t>Texte!$B$201</t>
  </si>
  <si>
    <t>Texte!$B$285</t>
  </si>
  <si>
    <t>Texte!$B$202</t>
  </si>
  <si>
    <t>Texte!$B$203</t>
  </si>
  <si>
    <t>Texte!$B$204</t>
  </si>
  <si>
    <t>Texte!$B$205</t>
  </si>
  <si>
    <t>Texte!$B$206</t>
  </si>
  <si>
    <t>Texte!$B$291</t>
  </si>
  <si>
    <t>Texte!$B$277</t>
  </si>
  <si>
    <t>Texte!$B$278</t>
  </si>
  <si>
    <t>Texte!$B$260</t>
  </si>
  <si>
    <t>Texte!$B$259</t>
  </si>
  <si>
    <t>Texte!$B$207</t>
  </si>
  <si>
    <t>Texte!$B$208</t>
  </si>
  <si>
    <t>Texte!$B$209</t>
  </si>
  <si>
    <t>Texte!$B$210</t>
  </si>
  <si>
    <t>Texte!$B$211</t>
  </si>
  <si>
    <t>Texte!$B$212</t>
  </si>
  <si>
    <t>Texte!$B$213</t>
  </si>
  <si>
    <t>Texte!$B$280</t>
  </si>
  <si>
    <t>Texte!$B$281</t>
  </si>
  <si>
    <t>Texte!$B$305</t>
  </si>
  <si>
    <t>Texte!$B$279</t>
  </si>
  <si>
    <t>Texte!$B$214</t>
  </si>
  <si>
    <t>Texte!$B$215</t>
  </si>
  <si>
    <t>Texte!$B$300</t>
  </si>
  <si>
    <t>Texte!$B$216</t>
  </si>
  <si>
    <t>Texte!$B$293</t>
  </si>
  <si>
    <t>Texte!$B$292</t>
  </si>
  <si>
    <t>Texte!$B$217</t>
  </si>
  <si>
    <t>Texte!$B$218</t>
  </si>
  <si>
    <t>Texte!$B$219</t>
  </si>
  <si>
    <t>Texte!$B$298</t>
  </si>
  <si>
    <t>Texte!$B$220</t>
  </si>
  <si>
    <t>Texte!$B$221</t>
  </si>
  <si>
    <t>Texte!$B$222</t>
  </si>
  <si>
    <t>Texte!$B$223</t>
  </si>
  <si>
    <t>Texte!$B$302</t>
  </si>
  <si>
    <t>Texte!$B$224</t>
  </si>
  <si>
    <t>Texte!$B$301</t>
  </si>
  <si>
    <t>Texte!$B$225</t>
  </si>
  <si>
    <t>Texte!$B$226</t>
  </si>
  <si>
    <t>Texte!$B$227</t>
  </si>
  <si>
    <t>Texte!$B$304</t>
  </si>
  <si>
    <t>Texte!$B$303</t>
  </si>
  <si>
    <t>Texte!$B$228</t>
  </si>
  <si>
    <t>Texte!$B$229</t>
  </si>
  <si>
    <t>Texte!$B$230</t>
  </si>
  <si>
    <t>Texte!$B$299</t>
  </si>
  <si>
    <t>Texte!$B$294</t>
  </si>
  <si>
    <t>Texte!$B$231</t>
  </si>
  <si>
    <t>Texte!$B$232</t>
  </si>
  <si>
    <t>Texte!$B$233</t>
  </si>
  <si>
    <t>Texte!$B$234</t>
  </si>
  <si>
    <t>Texte!$B$235</t>
  </si>
  <si>
    <t>Texte!$B$236</t>
  </si>
  <si>
    <t>Texte!$B$237</t>
  </si>
  <si>
    <t>Texte!$B$238</t>
  </si>
  <si>
    <t>Texte!$B$239</t>
  </si>
  <si>
    <t>Texte!$B$295</t>
  </si>
  <si>
    <t>Texte!$B$240</t>
  </si>
  <si>
    <t>Texte!$B$297</t>
  </si>
  <si>
    <t>Texte!$B$296</t>
  </si>
  <si>
    <t>Texte!$B$241</t>
  </si>
  <si>
    <t>Texte!$B$242</t>
  </si>
  <si>
    <t>Texte!$B$243</t>
  </si>
  <si>
    <t>Texte!$B$244</t>
  </si>
  <si>
    <t>Texte!$B$245</t>
  </si>
  <si>
    <t>Texte!$B$246</t>
  </si>
  <si>
    <t>Texte!$B$247</t>
  </si>
  <si>
    <t>Texte!$B$276</t>
  </si>
  <si>
    <t>Texte!$B$290</t>
  </si>
  <si>
    <t>Texte!$B$289</t>
  </si>
  <si>
    <t>Texte!$B$287</t>
  </si>
  <si>
    <t>Texte!$B$288</t>
  </si>
  <si>
    <t>Texte!$B$273</t>
  </si>
  <si>
    <t>Texte!$B$274</t>
  </si>
  <si>
    <t>Texte!$B$270</t>
  </si>
  <si>
    <t>Texte!$B$271</t>
  </si>
  <si>
    <t>Texte!$B$272</t>
  </si>
  <si>
    <t>Texte!$B$275</t>
  </si>
  <si>
    <t>B-1</t>
  </si>
  <si>
    <t>B-2</t>
  </si>
  <si>
    <t>B-3</t>
  </si>
  <si>
    <t>B-4</t>
  </si>
  <si>
    <t>B-5</t>
  </si>
  <si>
    <t>B-6</t>
  </si>
  <si>
    <t>B-7</t>
  </si>
  <si>
    <t>B-8</t>
  </si>
  <si>
    <t>B-9</t>
  </si>
  <si>
    <t>C1-1</t>
  </si>
  <si>
    <t>C1-2</t>
  </si>
  <si>
    <t>C1-3</t>
  </si>
  <si>
    <t>C1-4</t>
  </si>
  <si>
    <t>C1-5</t>
  </si>
  <si>
    <t>C211-1</t>
  </si>
  <si>
    <t>C211-2</t>
  </si>
  <si>
    <t>C211-3</t>
  </si>
  <si>
    <t>C211-4</t>
  </si>
  <si>
    <t>C211-5</t>
  </si>
  <si>
    <t>C212-1</t>
  </si>
  <si>
    <t>C212-2</t>
  </si>
  <si>
    <t>C212-3</t>
  </si>
  <si>
    <t>C212-4</t>
  </si>
  <si>
    <t>C212-5</t>
  </si>
  <si>
    <t>C212-6</t>
  </si>
  <si>
    <t>C212-7</t>
  </si>
  <si>
    <t>C212-8</t>
  </si>
  <si>
    <t>C212-9</t>
  </si>
  <si>
    <t>C212-10</t>
  </si>
  <si>
    <t>C212-11</t>
  </si>
  <si>
    <t>C212-12</t>
  </si>
  <si>
    <t>C212-13</t>
  </si>
  <si>
    <t>C212-14</t>
  </si>
  <si>
    <t>C212-15</t>
  </si>
  <si>
    <t>C212-16</t>
  </si>
  <si>
    <t>C212-17</t>
  </si>
  <si>
    <t>C212-18</t>
  </si>
  <si>
    <t>C212-19</t>
  </si>
  <si>
    <t>C212-20</t>
  </si>
  <si>
    <t>C212-21</t>
  </si>
  <si>
    <t>C212-22</t>
  </si>
  <si>
    <t>C212-23</t>
  </si>
  <si>
    <t>C212-24</t>
  </si>
  <si>
    <t>C22-1</t>
  </si>
  <si>
    <t>C22-2</t>
  </si>
  <si>
    <t>C22-3</t>
  </si>
  <si>
    <t>C22-4</t>
  </si>
  <si>
    <t>C22-5</t>
  </si>
  <si>
    <t>C22-6</t>
  </si>
  <si>
    <t>C22-7</t>
  </si>
  <si>
    <t>C22-8</t>
  </si>
  <si>
    <t>C22-9</t>
  </si>
  <si>
    <t>C22-10</t>
  </si>
  <si>
    <t>C22-11</t>
  </si>
  <si>
    <t>C41-1</t>
  </si>
  <si>
    <t>C41-2</t>
  </si>
  <si>
    <t>C41-3</t>
  </si>
  <si>
    <t>C41-4</t>
  </si>
  <si>
    <t>C41-5</t>
  </si>
  <si>
    <t>C41-6</t>
  </si>
  <si>
    <t>C41-7</t>
  </si>
  <si>
    <t>C41-8</t>
  </si>
  <si>
    <t>C41-9</t>
  </si>
  <si>
    <t>C41-10</t>
  </si>
  <si>
    <t>C41-11</t>
  </si>
  <si>
    <t>C41-12</t>
  </si>
  <si>
    <t>C41-13</t>
  </si>
  <si>
    <t>C41-14</t>
  </si>
  <si>
    <t>C41-15</t>
  </si>
  <si>
    <t>C41-16</t>
  </si>
  <si>
    <t>C41-17</t>
  </si>
  <si>
    <t>C41-18</t>
  </si>
  <si>
    <t>C41-19</t>
  </si>
  <si>
    <t>C41-20</t>
  </si>
  <si>
    <t>C41-21</t>
  </si>
  <si>
    <t>C43-1</t>
  </si>
  <si>
    <t>C44-1</t>
  </si>
  <si>
    <t>C44-2</t>
  </si>
  <si>
    <t>C44-3</t>
  </si>
  <si>
    <t>C44-4</t>
  </si>
  <si>
    <t>C44-5</t>
  </si>
  <si>
    <t>C44-6</t>
  </si>
  <si>
    <t>C44-7</t>
  </si>
  <si>
    <t>C44-8</t>
  </si>
  <si>
    <t>C44-9</t>
  </si>
  <si>
    <t>C44-10</t>
  </si>
  <si>
    <t>C44-11</t>
  </si>
  <si>
    <t>C44-12</t>
  </si>
  <si>
    <t>C44-13</t>
  </si>
  <si>
    <t>C44-14</t>
  </si>
  <si>
    <t>C44-15</t>
  </si>
  <si>
    <t>C44-16</t>
  </si>
  <si>
    <t>C44-17</t>
  </si>
  <si>
    <t>D-1</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</si>
  <si>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</si>
  <si>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</si>
  <si>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</si>
  <si>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</si>
  <si>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</si>
  <si>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</si>
  <si>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</si>
  <si>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</si>
  <si>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</si>
  <si>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</si>
  <si>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</si>
  <si>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</si>
  <si>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</si>
  <si>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</si>
  <si>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</si>
  <si>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</si>
  <si>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</si>
  <si>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</si>
  <si>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</si>
  <si>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</si>
  <si>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</si>
  <si>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</si>
  <si>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</si>
  <si>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</si>
  <si>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</si>
  <si>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</si>
  <si>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</si>
  <si>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</si>
  <si>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</si>
  <si>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</si>
  <si>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</si>
  <si>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</si>
  <si>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</si>
  <si>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</si>
  <si>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</si>
  <si>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</si>
  <si>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</si>
  <si>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</si>
  <si>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</si>
  <si>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E3-1</t>
  </si>
  <si>
    <t>E3-2</t>
  </si>
  <si>
    <t>E3-3</t>
  </si>
  <si>
    <t>E3-4</t>
  </si>
  <si>
    <t>E3-5</t>
  </si>
  <si>
    <t>E3-6</t>
  </si>
  <si>
    <t>G-1</t>
  </si>
  <si>
    <t>G-2</t>
  </si>
  <si>
    <t>G-3</t>
  </si>
  <si>
    <t>G-4</t>
  </si>
  <si>
    <t>Texte!W312</t>
  </si>
  <si>
    <t>Texte!W310</t>
  </si>
  <si>
    <t>Texte!W311</t>
  </si>
  <si>
    <t>Texte!W309</t>
  </si>
  <si>
    <t>$B$30</t>
  </si>
  <si>
    <t>$B$31</t>
  </si>
  <si>
    <t>$B$32</t>
  </si>
  <si>
    <t>$B$33</t>
  </si>
  <si>
    <t>$B$34</t>
  </si>
  <si>
    <t>$B$35</t>
  </si>
  <si>
    <t>$B$36</t>
  </si>
  <si>
    <t>$B$37</t>
  </si>
  <si>
    <t>$B$38</t>
  </si>
  <si>
    <t>$B$39</t>
  </si>
  <si>
    <t>$B$40</t>
  </si>
  <si>
    <t>$B$41</t>
  </si>
  <si>
    <t>$B$42</t>
  </si>
  <si>
    <t>$B$43</t>
  </si>
  <si>
    <t>$B$44</t>
  </si>
  <si>
    <t>Texte!W180</t>
  </si>
  <si>
    <t>Texte!W181</t>
  </si>
  <si>
    <t>Texte!W182</t>
  </si>
  <si>
    <t>Texte!W183</t>
  </si>
  <si>
    <t>Texte!W184</t>
  </si>
  <si>
    <t>Texte!W185</t>
  </si>
  <si>
    <t>Texte!W186</t>
  </si>
  <si>
    <t>Texte!W187</t>
  </si>
  <si>
    <t>Texte!W188</t>
  </si>
  <si>
    <t>Texte!W313</t>
  </si>
  <si>
    <t>Texte!W189</t>
  </si>
  <si>
    <t>Texte!W190</t>
  </si>
  <si>
    <t>Texte!W191</t>
  </si>
  <si>
    <t>Texte!W192</t>
  </si>
  <si>
    <t>Texte!W193</t>
  </si>
  <si>
    <t>Texte!W194</t>
  </si>
  <si>
    <t>Texte!W195</t>
  </si>
  <si>
    <t>Texte!W196</t>
  </si>
  <si>
    <t>Texte!W197</t>
  </si>
  <si>
    <t>Texte!W198</t>
  </si>
  <si>
    <t>Texte!W199</t>
  </si>
  <si>
    <t>Texte!W200</t>
  </si>
  <si>
    <t>Texte!W201</t>
  </si>
  <si>
    <t>Texte!W202</t>
  </si>
  <si>
    <t>Texte!W317</t>
  </si>
  <si>
    <t>Texte!W314</t>
  </si>
  <si>
    <t>Texte!W316</t>
  </si>
  <si>
    <t>Texte!W315</t>
  </si>
  <si>
    <t>Texte!W203</t>
  </si>
  <si>
    <t>Texte!W204</t>
  </si>
  <si>
    <t>Texte!W205</t>
  </si>
  <si>
    <t>Texte!W206</t>
  </si>
  <si>
    <t>Texte!W321</t>
  </si>
  <si>
    <t>Texte!W318</t>
  </si>
  <si>
    <t>Texte!W320</t>
  </si>
  <si>
    <t>Texte!W322</t>
  </si>
  <si>
    <t>Texte!W319</t>
  </si>
  <si>
    <t>W85</t>
  </si>
  <si>
    <t>W86</t>
  </si>
  <si>
    <t>W96</t>
  </si>
  <si>
    <t>W97</t>
  </si>
  <si>
    <t>W98</t>
  </si>
  <si>
    <t>W99</t>
  </si>
  <si>
    <t>Texte!W216</t>
  </si>
  <si>
    <t>Texte!W217</t>
  </si>
  <si>
    <t>Texte!W218</t>
  </si>
  <si>
    <t>Texte!W219</t>
  </si>
  <si>
    <t>Texte!W220</t>
  </si>
  <si>
    <t>Texte!W221</t>
  </si>
  <si>
    <t>Texte!W222</t>
  </si>
  <si>
    <t>Texte!W223</t>
  </si>
  <si>
    <t>Texte!W224</t>
  </si>
  <si>
    <t>Texte!W225</t>
  </si>
  <si>
    <t>Texte!W226</t>
  </si>
  <si>
    <t>Texte!W227</t>
  </si>
  <si>
    <t>Texte!W228</t>
  </si>
  <si>
    <t>Texte!W229</t>
  </si>
  <si>
    <t>Texte!W230</t>
  </si>
  <si>
    <t>Texte!W231</t>
  </si>
  <si>
    <t>Texte!W232</t>
  </si>
  <si>
    <t>Texte!W233</t>
  </si>
  <si>
    <t>Texte!W234</t>
  </si>
  <si>
    <t>Texte!W235</t>
  </si>
  <si>
    <t>Texte!W236</t>
  </si>
  <si>
    <t>Texte!W237</t>
  </si>
  <si>
    <t>Texte!W238</t>
  </si>
  <si>
    <t>Texte!W239</t>
  </si>
  <si>
    <t>Texte!W240</t>
  </si>
  <si>
    <t>Texte!W241</t>
  </si>
  <si>
    <t>Texte!W242</t>
  </si>
  <si>
    <t>Texte!W243</t>
  </si>
  <si>
    <t>Texte!W244</t>
  </si>
  <si>
    <t>Texte!W245</t>
  </si>
  <si>
    <t>Texte!W246</t>
  </si>
  <si>
    <t>Texte!W247</t>
  </si>
  <si>
    <t>Texte!$B$308</t>
  </si>
  <si>
    <t>Texte!W283</t>
  </si>
  <si>
    <t>Texte!W282</t>
  </si>
  <si>
    <t>Texte!W284</t>
  </si>
  <si>
    <t>Texte!W286</t>
  </si>
  <si>
    <t>Texte!W285</t>
  </si>
  <si>
    <t>Texte!W291</t>
  </si>
  <si>
    <t>W87</t>
  </si>
  <si>
    <t>W88</t>
  </si>
  <si>
    <t>Texte!W300</t>
  </si>
  <si>
    <t>Texte!W293</t>
  </si>
  <si>
    <t>Texte!W292</t>
  </si>
  <si>
    <t>Texte!W298</t>
  </si>
  <si>
    <t>Texte!W302</t>
  </si>
  <si>
    <t>Texte!W301</t>
  </si>
  <si>
    <t>Texte!W304</t>
  </si>
  <si>
    <t>Texte!W303</t>
  </si>
  <si>
    <t>Texte!W299</t>
  </si>
  <si>
    <t>Texte!W294</t>
  </si>
  <si>
    <t>Texte!W295</t>
  </si>
  <si>
    <t>Texte!W297</t>
  </si>
  <si>
    <t>Texte!W296</t>
  </si>
  <si>
    <t>Texte!W276</t>
  </si>
  <si>
    <t>Texte!W290</t>
  </si>
  <si>
    <t>Texte!W289</t>
  </si>
  <si>
    <t>Texte!W287</t>
  </si>
  <si>
    <t>Texte!W288</t>
  </si>
  <si>
    <t/>
  </si>
  <si>
    <t>C41-22</t>
  </si>
  <si>
    <t>C41-23</t>
  </si>
  <si>
    <t>C41-24</t>
  </si>
  <si>
    <t>C41-25</t>
  </si>
  <si>
    <t>C41-26</t>
  </si>
  <si>
    <t>Bauteilbezeichnungen</t>
  </si>
  <si>
    <t>Bauteil-Code</t>
  </si>
  <si>
    <t>MJ/m2</t>
  </si>
  <si>
    <t>MJ/m2 EBF</t>
  </si>
  <si>
    <t>kg CO2/m2</t>
  </si>
  <si>
    <t>kg CO2/m2 EBF</t>
  </si>
  <si>
    <t>K5:K5</t>
  </si>
  <si>
    <t>K6:K6</t>
  </si>
  <si>
    <t>K7:K7</t>
  </si>
  <si>
    <t>K8:K8</t>
  </si>
  <si>
    <t>K10:K10</t>
  </si>
  <si>
    <t>K11:K11</t>
  </si>
  <si>
    <t>K12:K12</t>
  </si>
  <si>
    <t>K13:K13</t>
  </si>
  <si>
    <t>Version 2.02</t>
  </si>
  <si>
    <t>CmpltCheckN</t>
  </si>
  <si>
    <t>CmpltCheckR</t>
  </si>
  <si>
    <t>2.02</t>
  </si>
  <si>
    <t>Grenzwerte THGE aktualisiert (V 2021), Vollständigkeitcheck ergänzt</t>
  </si>
  <si>
    <t>Gruppe</t>
  </si>
  <si>
    <t>Baugrube</t>
  </si>
  <si>
    <t>Tech_LU</t>
  </si>
  <si>
    <t>Tech_EL</t>
  </si>
  <si>
    <t>Tech_SA</t>
  </si>
  <si>
    <t>Tech_SO</t>
  </si>
  <si>
    <t>Tech_KO</t>
  </si>
  <si>
    <t>Tech_PV</t>
  </si>
  <si>
    <t>Tech_WV</t>
  </si>
  <si>
    <t>Tech_WA</t>
  </si>
  <si>
    <t>Tech_WE</t>
  </si>
  <si>
    <t>Bauteilgruppen</t>
  </si>
  <si>
    <t>Vollständig?</t>
  </si>
  <si>
    <t>Elementcode</t>
  </si>
  <si>
    <t>Text</t>
  </si>
  <si>
    <t>Elektro</t>
  </si>
  <si>
    <t>Therm. Kollektoren</t>
  </si>
  <si>
    <t>Sanitär</t>
  </si>
  <si>
    <t>Photovoltaik</t>
  </si>
  <si>
    <t>A49</t>
  </si>
  <si>
    <t>Bauteilgruppe</t>
  </si>
  <si>
    <t>Ventilation</t>
  </si>
  <si>
    <t>Technik ist vollständig erfasst.</t>
  </si>
  <si>
    <t>CmpltText</t>
  </si>
  <si>
    <t xml:space="preserve">Es fehlen die Technik-Elemente </t>
  </si>
  <si>
    <t>Bauteile sind vollständig erfasst.</t>
  </si>
  <si>
    <t xml:space="preserve">Es fehlen die Elementgruppen </t>
  </si>
  <si>
    <t>Sondes géoth.</t>
  </si>
  <si>
    <t>Sonde geot.</t>
  </si>
  <si>
    <t>Erdsonden</t>
  </si>
  <si>
    <t>Ground probes</t>
  </si>
  <si>
    <t>Coll. Solaires</t>
  </si>
  <si>
    <t>Coll. Solare</t>
  </si>
  <si>
    <t>solar collectors</t>
  </si>
  <si>
    <t>Inst. Sanitaires</t>
  </si>
  <si>
    <t>Imp. Sanitari</t>
  </si>
  <si>
    <t>Inst. électrique</t>
  </si>
  <si>
    <t>Imp. elettrico</t>
  </si>
  <si>
    <t>Emiss. Calore</t>
  </si>
  <si>
    <t>Heat emission</t>
  </si>
  <si>
    <t>Gen. Termico</t>
  </si>
  <si>
    <t>Distr. Calore</t>
  </si>
  <si>
    <t>Heat distribution</t>
  </si>
  <si>
    <t>Inst. Photovoltaïque</t>
  </si>
  <si>
    <t>Imp. Fotovoltaico</t>
  </si>
  <si>
    <t>Solar power panels</t>
  </si>
  <si>
    <t>Inst. ventilation</t>
  </si>
  <si>
    <t>Imp. ventilazione</t>
  </si>
  <si>
    <t>Prod. chaleur</t>
  </si>
  <si>
    <t>Distr. chaleur</t>
  </si>
  <si>
    <t>Diff. chaleur</t>
  </si>
  <si>
    <t>I componenti sono completamente registrati.</t>
  </si>
  <si>
    <t xml:space="preserve">Mancano i gruppi di elementi </t>
  </si>
  <si>
    <t>La tecnica è completamente registrata.</t>
  </si>
  <si>
    <t>Mancano gli elementi tecnici</t>
  </si>
  <si>
    <t>Les composants sont entièrement enregistrés.</t>
  </si>
  <si>
    <t>La technique est entièrement enregistrée.</t>
  </si>
  <si>
    <t xml:space="preserve">Ces groupes d'éléments sont manquants: </t>
  </si>
  <si>
    <t>Components are completely entered.</t>
  </si>
  <si>
    <t xml:space="preserve">These element groups are missing: </t>
  </si>
  <si>
    <t>Building Services are completely entered.</t>
  </si>
  <si>
    <t xml:space="preserve">These building service elements are missing: </t>
  </si>
  <si>
    <t>Select a component from the list. 
Warning: if the field is yellow, you must reselect the component.</t>
  </si>
  <si>
    <t xml:space="preserve">Ces éléments techniques sont manquants: </t>
  </si>
  <si>
    <t>SNBS 2.1 Hochbau</t>
  </si>
  <si>
    <t>Dieses Arbeitsblatt ist nur bei Erneuerungen auszufüllen.</t>
  </si>
  <si>
    <t>Questionnaire rénovation pour l'énergie grise/GES</t>
  </si>
  <si>
    <t>Questionario ammodernamenti per l'energia grigia/GES</t>
  </si>
  <si>
    <t>Fragenkatalog Erneuerung Graue Energie/THGE</t>
  </si>
  <si>
    <t>Die Anforderungen von Minergie-ECO an Erneuerungen sind erfüllt.
Eine detaillierte Berechnung ist nicht erforderlich.</t>
  </si>
  <si>
    <t>Les exigences Minergie-ECO pour rénovations sont remplies.
Un calcul détaillé n'est pas nécessaire.</t>
  </si>
  <si>
    <t>Il requisito Minergie-ECO per ammodernamenti é rispettato.
Un calcolo dettagliato non è necessario.</t>
  </si>
  <si>
    <t>The requirements of Minergie-ECO are respected.
A more detailed calculation is not necessary.</t>
  </si>
  <si>
    <t>Sì</t>
  </si>
  <si>
    <t>Compilare completamente il questionario.</t>
  </si>
  <si>
    <t>La superfice delle finestre della facciata e del tetto vengono aumentate del 20% al massimo e i telai delle finestre sostituite o nuove sono in legno o legno-metallo.</t>
  </si>
  <si>
    <t>La compattezza dell'edificio (rapporto tra involucro termico Ath e la superficie di riferimento energetico AE) è rimasto invaraito o è migliorato.</t>
  </si>
  <si>
    <t>Approfondimento</t>
  </si>
  <si>
    <t>La maggior parte dell'elemento costruttivo viene mantenuta (nessun carotaggio, demolizione fino al grezzo).</t>
  </si>
  <si>
    <t>Costruzione pareti esterne fuori terra e tetto.</t>
  </si>
  <si>
    <t xml:space="preserve">Il volume dell'edificio non viene aumentato (eccetto gli aumenti dovuti agli strati aggiuntivi di isolamento termico).
Oppure la superficie del piano del volume aggiunto corrisponde al massimo al 20% della superficie del piano esistente. </t>
  </si>
  <si>
    <t>L'oggetto è un edificio con una superficie di riferimento energetico inferiore a 5'000 m2.
Oppure è un altro tipo di edificio con una superficie inferiore a 2'000 m2.</t>
  </si>
  <si>
    <t>Le pareti esterne fuori terra e il tetto non vengono ammodernate, rispettivamente rinnovate con lo stesso tipo di materializzazione (ad esclusione naturalmente degli strati isolanti aggiuntivi).
Oppure le pareti esterne sostituite o nuove sono costituite da una delle seguenti composizioni:
- Costruzione massiccia monostrato con rivestimento leggero (legno, derivati dal legno, fibrocemento, elementi in calcestruzzo spess. &lt; 8 cm, pannelli FV ecc.).
- Costruzione intelaiata in legno con isolamento a cappotto o rivestimento leggero
- Costruzione massiccia monostrato con cappotto</t>
  </si>
  <si>
    <t xml:space="preserve">Die Fensterflächen in der Fassade und dem Dach wurden maximal um 20% vergrössert und die Rahmen von ersetzten oder neuen Fenstern bestehen aus Holz oder Holz-Metall. 
</t>
  </si>
  <si>
    <t>Die Aussenwände über Terrain und das Dach wurden nicht modernisiert bzw. in identischer Materialisierung erneuert (ausgenommen bleiben zusätzliche Dämmschichten).
Oder die ersetzten oder neu erstellten Aussenwände bestehen aus einer der folgenden Konstruktionen:
- Einschalige Massivkonstruktion mit leichter Verkleidung (Holz, Holzwerkstoffe, Faserzement, Betonelemente &lt; 8 cm dick, PV-Panel etc.) 
- Holzrahmenbau mit Kompaktfassade oder leichter Verkleidung
- Einschalige Massivkonstruktion mit Kompaktfassade</t>
  </si>
  <si>
    <t xml:space="preserve">Das Gebäudevolumen wurde nicht vergrössert (ausgenommen sind Vergrösserungen, die sich durch zusätzliche Dämmschichten ergeben).
Oder die Geschossfläche des zusätzlichen Volumens beträgt nicht mehr als 20% der bestehenden Geschossfläche.
</t>
  </si>
  <si>
    <t>Agrandissements</t>
  </si>
  <si>
    <t xml:space="preserve">Le volume du bâtiment n'a pas été agrandi (mis à part les agrandissements résultant de couches d'isolation supplémentaires).
Ou la surface de plancher du volume supplémentaire s'élève à moins de 20% de la surface existante de plancher. </t>
  </si>
  <si>
    <t>Objet:</t>
  </si>
  <si>
    <t>Responsable:</t>
  </si>
  <si>
    <t>Date, signature:</t>
  </si>
  <si>
    <t>Les surfaces vitrées de la façade et de la toiture ont été agrandies de 20% au maximum et les cadres des fenêtres remplacées ou fenêtres nouvelles sont en bois ou bois-métal.</t>
  </si>
  <si>
    <t>Les parois extérieures au-dessus du terrain et la toiture non pas été rénovées resp. renouvelées avec une matérialisation identique (mis à part les couches d'isolation supplémentaires).
Ou les parois extérieures remplacées ou construites à neuf appartiennent à un des systèmes constructifs suivants:
- Parois massive simple avec revêtement léger (bois, dérivés du bois, fibres-ciment, éléments en béton &lt; 8cm, panneaux photovoltaïques, etc.)
- Ossature bois avec isolation extérieure crépie ou revêtement léger
- Parois massive simple avec isolation extérieure crépie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</si>
</sst>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 #,##0.00_ ;_ * \-#,##0.00_ ;_ * &quot;-&quot;??_ ;_ @_ "/>
    <numFmt numFmtId="164" formatCode="0.0"/>
    <numFmt numFmtId="165" formatCode="0.000"/>
    <numFmt numFmtId="166" formatCode="00.000"/>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0.0&quot; dt&quot;;[Red]#,##0.0&quot; dt&quot;"/>
    <numFmt numFmtId="172" formatCode="0.00E+0;[=0]&quot;-&quot;;0.00E+0"/>
    <numFmt numFmtId="173" formatCode="_ [$€-2]\ * #,##0.00_ ;_ [$€-2]\ * \-#,##0.00_ ;_ [$€-2]\ * &quot;-&quot;??_ "/>
    <numFmt numFmtId="174" formatCode="&quot;$&quot;#,##0"/>
    <numFmt numFmtId="175" formatCode="#,##0&quot; kg&quot;;[Red]#,##0&quot; kg&quot;"/>
    <numFmt numFmtId="176" formatCode="#,##0&quot; Liter&quot;;[Red]#,##0&quot; Liter&quot;"/>
    <numFmt numFmtId="177" formatCode="#,##0&quot; m2&quot;;[Red]#,##0&quot; m2&quot;"/>
    <numFmt numFmtId="178" formatCode="#,##0&quot; m2a&quot;;[Red]#,##0&quot; m2a&quot;"/>
    <numFmt numFmtId="179" formatCode="#,##0.0&quot; m3&quot;;[Red]#,##0.0&quot; m3&quot;"/>
    <numFmt numFmtId="180" formatCode="0.00E+0;[=0]&quot;0&quot;;General"/>
    <numFmt numFmtId="181" formatCode="0.00%;[=0]&quot;0&quot;;General"/>
    <numFmt numFmtId="182" formatCode="0.0%;[=0]&quot;0%&quot;;0.0%"/>
    <numFmt numFmtId="183" formatCode="0.0%"/>
    <numFmt numFmtId="184" formatCode="[=0]&quot;&quot;;General"/>
    <numFmt numFmtId="185" formatCode="0.0E+0;[=0]&quot;-&quot;;0.0E+0"/>
    <numFmt numFmtId="186" formatCode="#,##0.0&quot; ZKh&quot;;[Red]#,##0.0&quot; ZKh&quot;"/>
    <numFmt numFmtId="187" formatCode=";;;"/>
  </numFmts>
  <fonts count="60">
    <font>
      <sz val="12"/>
      <name val="Arial"/>
    </font>
    <font>
      <sz val="11"/>
      <color theme="1"/>
      <name val="Calibri"/>
      <family val="2"/>
      <scheme val="minor"/>
    </font>
    <font>
      <sz val="11"/>
      <color theme="1"/>
      <name val="Calibri"/>
      <family val="2"/>
      <scheme val="minor"/>
    </font>
    <font>
      <sz val="12"/>
      <name val="Arial"/>
      <family val="2"/>
    </font>
    <font>
      <b/>
      <sz val="14"/>
      <name val="Arial"/>
      <family val="2"/>
    </font>
    <font>
      <sz val="14"/>
      <name val="Arial"/>
      <family val="2"/>
    </font>
    <font>
      <b/>
      <sz val="12"/>
      <name val="Arial"/>
      <family val="2"/>
    </font>
    <font>
      <sz val="10"/>
      <name val="Arial"/>
      <family val="2"/>
    </font>
    <font>
      <b/>
      <sz val="10"/>
      <name val="Arial"/>
      <family val="2"/>
    </font>
    <font>
      <sz val="10"/>
      <name val="Arial"/>
      <family val="2"/>
    </font>
    <font>
      <b/>
      <sz val="10"/>
      <color indexed="9"/>
      <name val="Arial"/>
      <family val="2"/>
    </font>
    <font>
      <sz val="9"/>
      <name val="Arial"/>
      <family val="2"/>
    </font>
    <font>
      <sz val="10"/>
      <name val="Arial Narrow"/>
      <family val="2"/>
    </font>
    <font>
      <sz val="8"/>
      <name val="Arial"/>
      <family val="2"/>
    </font>
    <font>
      <b/>
      <sz val="9"/>
      <name val="Arial"/>
      <family val="2"/>
    </font>
    <font>
      <vertAlign val="superscript"/>
      <sz val="10"/>
      <name val="Arial"/>
      <family val="2"/>
    </font>
    <font>
      <sz val="18"/>
      <name val="Arial"/>
      <family val="2"/>
    </font>
    <font>
      <sz val="9"/>
      <color indexed="81"/>
      <name val="Tahoma"/>
      <family val="2"/>
    </font>
    <font>
      <b/>
      <sz val="9"/>
      <color indexed="81"/>
      <name val="Tahoma"/>
      <family val="2"/>
    </font>
    <font>
      <sz val="10"/>
      <color theme="1"/>
      <name val="Arial"/>
      <family val="2"/>
    </font>
    <font>
      <sz val="10"/>
      <color theme="0"/>
      <name val="Arial"/>
      <family val="2"/>
    </font>
    <font>
      <sz val="11"/>
      <color rgb="FF000000"/>
      <name val="Calibri"/>
      <family val="2"/>
    </font>
    <font>
      <b/>
      <sz val="10"/>
      <color theme="0"/>
      <name val="Arial"/>
      <family val="2"/>
    </font>
    <font>
      <sz val="10"/>
      <color theme="0" tint="-0.499984740745262"/>
      <name val="Arial"/>
      <family val="2"/>
    </font>
    <font>
      <sz val="9"/>
      <color rgb="FF000000"/>
      <name val="Arial"/>
      <family val="2"/>
    </font>
    <font>
      <u/>
      <sz val="10"/>
      <name val="Arial"/>
      <family val="2"/>
    </font>
    <font>
      <vertAlign val="subscript"/>
      <sz val="10"/>
      <color theme="0"/>
      <name val="Arial"/>
      <family val="2"/>
    </font>
    <font>
      <b/>
      <sz val="10"/>
      <name val="DIN-Regular"/>
      <family val="2"/>
    </font>
    <font>
      <b/>
      <vertAlign val="subscript"/>
      <sz val="10"/>
      <name val="DIN-Regular"/>
      <family val="2"/>
    </font>
    <font>
      <b/>
      <vertAlign val="superscript"/>
      <sz val="10"/>
      <name val="DIN-Regular"/>
      <family val="2"/>
    </font>
    <font>
      <sz val="10"/>
      <color theme="0" tint="-0.34998626667073579"/>
      <name val="Arial"/>
      <family val="2"/>
    </font>
    <font>
      <sz val="9"/>
      <name val="DIN-Regular"/>
      <family val="2"/>
    </font>
    <font>
      <sz val="9"/>
      <color rgb="FF898989"/>
      <name val="DIN-Bold"/>
      <family val="2"/>
    </font>
    <font>
      <sz val="8"/>
      <color rgb="FF898989"/>
      <name val="DIN-Bold"/>
      <family val="2"/>
    </font>
    <font>
      <sz val="9"/>
      <name val="DIN-Bold"/>
      <family val="2"/>
    </font>
    <font>
      <u/>
      <sz val="12"/>
      <color theme="10"/>
      <name val="Arial"/>
      <family val="2"/>
    </font>
    <font>
      <sz val="10"/>
      <name val="Arial Unicode MS"/>
      <family val="2"/>
    </font>
    <font>
      <sz val="12"/>
      <color theme="1"/>
      <name val="Calibri"/>
      <family val="2"/>
      <scheme val="minor"/>
    </font>
    <font>
      <sz val="9"/>
      <name val="Times New Roman"/>
      <family val="1"/>
    </font>
    <font>
      <sz val="9"/>
      <name val="Helvetica"/>
      <family val="2"/>
    </font>
    <font>
      <sz val="8"/>
      <name val="Verdana"/>
      <family val="2"/>
    </font>
    <font>
      <b/>
      <sz val="9"/>
      <name val="Times New Roman"/>
      <family val="1"/>
    </font>
    <font>
      <sz val="10"/>
      <color indexed="8"/>
      <name val="MS Sans Serif"/>
      <family val="2"/>
    </font>
    <font>
      <sz val="7"/>
      <name val="Helvetica"/>
      <family val="2"/>
    </font>
    <font>
      <sz val="9"/>
      <name val="Helv"/>
    </font>
    <font>
      <sz val="11"/>
      <color rgb="FF3F3F76"/>
      <name val="Arial"/>
      <family val="2"/>
    </font>
    <font>
      <b/>
      <sz val="8"/>
      <color indexed="9"/>
      <name val="Tahoma"/>
      <family val="2"/>
    </font>
    <font>
      <b/>
      <sz val="8"/>
      <color indexed="8"/>
      <name val="Tahoma"/>
      <family val="2"/>
    </font>
    <font>
      <b/>
      <sz val="12"/>
      <name val="Times New Roman"/>
      <family val="1"/>
    </font>
    <font>
      <sz val="10"/>
      <name val="Helv"/>
    </font>
    <font>
      <sz val="10"/>
      <name val="Geneva"/>
      <family val="2"/>
    </font>
    <font>
      <sz val="10"/>
      <color indexed="8"/>
      <name val="Arial"/>
      <family val="2"/>
    </font>
    <font>
      <sz val="10"/>
      <name val="Trebuchet MS"/>
      <family val="2"/>
    </font>
    <font>
      <b/>
      <sz val="16"/>
      <color indexed="9"/>
      <name val="Tahoma"/>
      <family val="2"/>
    </font>
    <font>
      <sz val="8"/>
      <name val="Helvetica"/>
      <family val="2"/>
    </font>
    <font>
      <sz val="11"/>
      <name val="Arial"/>
      <family val="2"/>
    </font>
    <font>
      <b/>
      <sz val="11"/>
      <name val="Arial"/>
      <family val="2"/>
    </font>
    <font>
      <b/>
      <sz val="11"/>
      <color theme="0"/>
      <name val="Arial"/>
      <family val="2"/>
    </font>
    <font>
      <b/>
      <sz val="11"/>
      <color theme="5"/>
      <name val="Arial"/>
      <family val="2"/>
    </font>
    <font>
      <sz val="11"/>
      <color theme="5"/>
      <name val="Arial"/>
      <family val="2"/>
    </font>
  </fonts>
  <fills count="2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5"/>
        <bgColor indexed="64"/>
      </patternFill>
    </fill>
    <fill>
      <patternFill patternType="solid">
        <fgColor theme="0"/>
        <bgColor indexed="64"/>
      </patternFill>
    </fill>
    <fill>
      <patternFill patternType="solid">
        <fgColor rgb="FFEAEAEA"/>
        <bgColor indexed="64"/>
      </patternFill>
    </fill>
    <fill>
      <patternFill patternType="solid">
        <fgColor rgb="FFCBDE90"/>
        <bgColor indexed="64"/>
      </patternFill>
    </fill>
    <fill>
      <patternFill patternType="solid">
        <fgColor rgb="FFC0504D"/>
        <bgColor indexed="64"/>
      </patternFill>
    </fill>
    <fill>
      <patternFill patternType="solid">
        <fgColor rgb="FFFFFFFF"/>
        <bgColor indexed="64"/>
      </patternFill>
    </fill>
    <fill>
      <patternFill patternType="solid">
        <fgColor rgb="FFFFCC99"/>
      </patternFill>
    </fill>
    <fill>
      <patternFill patternType="solid">
        <fgColor indexed="23"/>
        <bgColor indexed="64"/>
      </patternFill>
    </fill>
    <fill>
      <patternFill patternType="solid">
        <fgColor indexed="42"/>
        <bgColor indexed="64"/>
      </patternFill>
    </fill>
    <fill>
      <patternFill patternType="solid">
        <fgColor indexed="47"/>
        <bgColor indexed="64"/>
      </patternFill>
    </fill>
    <fill>
      <patternFill patternType="solid">
        <fgColor indexed="55"/>
        <bgColor indexed="64"/>
      </patternFill>
    </fill>
    <fill>
      <patternFill patternType="solid">
        <fgColor indexed="45"/>
        <bgColor indexed="64"/>
      </patternFill>
    </fill>
    <fill>
      <patternFill patternType="solid">
        <fgColor indexed="43"/>
        <bgColor indexed="64"/>
      </patternFill>
    </fill>
    <fill>
      <patternFill patternType="solid">
        <fgColor indexed="8"/>
        <bgColor indexed="64"/>
      </patternFill>
    </fill>
    <fill>
      <patternFill patternType="solid">
        <fgColor indexed="4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8"/>
        <bgColor indexed="64"/>
      </patternFill>
    </fill>
    <fill>
      <patternFill patternType="solid">
        <fgColor theme="0" tint="-4.9989318521683403E-2"/>
        <bgColor indexed="64"/>
      </patternFill>
    </fill>
    <fill>
      <patternFill patternType="solid">
        <fgColor theme="8" tint="0.79998168889431442"/>
        <bgColor indexed="64"/>
      </patternFill>
    </fill>
  </fills>
  <borders count="189">
    <border>
      <left/>
      <right/>
      <top/>
      <bottom/>
      <diagonal/>
    </border>
    <border>
      <left/>
      <right/>
      <top/>
      <bottom style="thin">
        <color indexed="64"/>
      </bottom>
      <diagonal/>
    </border>
    <border>
      <left style="thick">
        <color theme="0"/>
      </left>
      <right/>
      <top/>
      <bottom/>
      <diagonal/>
    </border>
    <border>
      <left/>
      <right style="thick">
        <color theme="0"/>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style="medium">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right/>
      <top style="thin">
        <color indexed="64"/>
      </top>
      <bottom style="thin">
        <color indexed="64"/>
      </bottom>
      <diagonal/>
    </border>
  </borders>
  <cellStyleXfs count="441">
    <xf numFmtId="0" fontId="0" fillId="0" borderId="0"/>
    <xf numFmtId="0" fontId="21" fillId="0" borderId="0"/>
    <xf numFmtId="0" fontId="9" fillId="0" borderId="0"/>
    <xf numFmtId="0" fontId="7" fillId="0" borderId="0"/>
    <xf numFmtId="0" fontId="7" fillId="0" borderId="0"/>
    <xf numFmtId="0" fontId="35" fillId="0" borderId="0" applyNumberFormat="0" applyFill="0" applyBorder="0" applyAlignment="0" applyProtection="0"/>
    <xf numFmtId="0" fontId="37" fillId="0" borderId="0"/>
    <xf numFmtId="4" fontId="38" fillId="0" borderId="35" applyFill="0" applyBorder="0" applyProtection="0">
      <alignment horizontal="right" vertical="center"/>
    </xf>
    <xf numFmtId="49" fontId="41" fillId="0" borderId="83" applyNumberFormat="0" applyFill="0" applyBorder="0" applyProtection="0">
      <alignment horizontal="left" vertical="center"/>
    </xf>
    <xf numFmtId="174" fontId="47" fillId="3" borderId="31" applyBorder="0">
      <alignment horizontal="left" vertical="center" indent="1"/>
    </xf>
    <xf numFmtId="174" fontId="47" fillId="3" borderId="43" applyBorder="0">
      <alignment horizontal="left" vertical="center" indent="1"/>
    </xf>
    <xf numFmtId="174" fontId="47" fillId="3" borderId="46" applyBorder="0">
      <alignment horizontal="left" vertical="center" indent="1"/>
    </xf>
    <xf numFmtId="174" fontId="47" fillId="3" borderId="49" applyBorder="0">
      <alignment horizontal="left" vertical="center" indent="1"/>
    </xf>
    <xf numFmtId="174" fontId="47" fillId="3" borderId="52" applyBorder="0">
      <alignment horizontal="left" vertical="center" indent="1"/>
    </xf>
    <xf numFmtId="174" fontId="47" fillId="3" borderId="55" applyBorder="0">
      <alignment horizontal="left" vertical="center" indent="1"/>
    </xf>
    <xf numFmtId="174" fontId="47" fillId="3" borderId="58" applyBorder="0">
      <alignment horizontal="left" vertical="center" indent="1"/>
    </xf>
    <xf numFmtId="174" fontId="47" fillId="3" borderId="61" applyBorder="0">
      <alignment horizontal="left" vertical="center" indent="1"/>
    </xf>
    <xf numFmtId="174" fontId="47" fillId="3" borderId="64" applyBorder="0">
      <alignment horizontal="left" vertical="center" indent="1"/>
    </xf>
    <xf numFmtId="174" fontId="47" fillId="3" borderId="67" applyBorder="0">
      <alignment horizontal="left" vertical="center" indent="1"/>
    </xf>
    <xf numFmtId="174" fontId="47" fillId="3" borderId="79" applyBorder="0">
      <alignment horizontal="left" vertical="center" indent="1"/>
    </xf>
    <xf numFmtId="174" fontId="47" fillId="3" borderId="82" applyBorder="0">
      <alignment horizontal="left" vertical="center" indent="1"/>
    </xf>
    <xf numFmtId="174" fontId="47" fillId="3" borderId="85" applyBorder="0">
      <alignment horizontal="left" vertical="center" indent="1"/>
    </xf>
    <xf numFmtId="174" fontId="47" fillId="3" borderId="88" applyBorder="0">
      <alignment horizontal="left" vertical="center" indent="1"/>
    </xf>
    <xf numFmtId="174" fontId="47" fillId="3" borderId="91" applyBorder="0">
      <alignment horizontal="left" vertical="center" indent="1"/>
    </xf>
    <xf numFmtId="174" fontId="47" fillId="3" borderId="94" applyBorder="0">
      <alignment horizontal="left" vertical="center" indent="1"/>
    </xf>
    <xf numFmtId="174" fontId="47" fillId="3" borderId="97" applyBorder="0">
      <alignment horizontal="left" vertical="center" indent="1"/>
    </xf>
    <xf numFmtId="174" fontId="47" fillId="3" borderId="100" applyBorder="0">
      <alignment horizontal="left" vertical="center" indent="1"/>
    </xf>
    <xf numFmtId="174" fontId="47" fillId="3" borderId="103" applyBorder="0">
      <alignment horizontal="left" vertical="center" indent="1"/>
    </xf>
    <xf numFmtId="174" fontId="47" fillId="3" borderId="106" applyBorder="0">
      <alignment horizontal="left" vertical="center" indent="1"/>
    </xf>
    <xf numFmtId="174" fontId="47" fillId="3" borderId="109" applyBorder="0">
      <alignment horizontal="left" vertical="center" indent="1"/>
    </xf>
    <xf numFmtId="174" fontId="47" fillId="3" borderId="112" applyBorder="0">
      <alignment horizontal="left" vertical="center" indent="1"/>
    </xf>
    <xf numFmtId="174" fontId="47" fillId="3" borderId="115" applyBorder="0">
      <alignment horizontal="left" vertical="center" indent="1"/>
    </xf>
    <xf numFmtId="174" fontId="47" fillId="3" borderId="118" applyBorder="0">
      <alignment horizontal="left" vertical="center" indent="1"/>
    </xf>
    <xf numFmtId="174" fontId="47" fillId="3" borderId="121" applyBorder="0">
      <alignment horizontal="left" vertical="center" indent="1"/>
    </xf>
    <xf numFmtId="174" fontId="47" fillId="3" borderId="124" applyBorder="0">
      <alignment horizontal="left" vertical="center" indent="1"/>
    </xf>
    <xf numFmtId="174" fontId="47" fillId="3" borderId="127" applyBorder="0">
      <alignment horizontal="left" vertical="center" indent="1"/>
    </xf>
    <xf numFmtId="174" fontId="47" fillId="3" borderId="130" applyBorder="0">
      <alignment horizontal="left" vertical="center" indent="1"/>
    </xf>
    <xf numFmtId="174" fontId="47" fillId="3" borderId="133" applyBorder="0">
      <alignment horizontal="left" vertical="center" indent="1"/>
    </xf>
    <xf numFmtId="174" fontId="47" fillId="3" borderId="136" applyBorder="0">
      <alignment horizontal="left" vertical="center" indent="1"/>
    </xf>
    <xf numFmtId="174" fontId="47" fillId="3" borderId="139" applyBorder="0">
      <alignment horizontal="left" vertical="center" indent="1"/>
    </xf>
    <xf numFmtId="0" fontId="7" fillId="0" borderId="0"/>
    <xf numFmtId="0" fontId="7" fillId="0" borderId="0"/>
    <xf numFmtId="43" fontId="2" fillId="0" borderId="0" applyFont="0" applyFill="0" applyBorder="0" applyAlignment="0" applyProtection="0"/>
    <xf numFmtId="49" fontId="38" fillId="0" borderId="5" applyNumberFormat="0" applyFont="0" applyFill="0" applyBorder="0" applyProtection="0">
      <alignment horizontal="left" vertical="center" indent="2"/>
    </xf>
    <xf numFmtId="49" fontId="38" fillId="0" borderId="6" applyNumberFormat="0" applyFont="0" applyFill="0" applyBorder="0" applyProtection="0">
      <alignment horizontal="left" vertical="center" indent="5"/>
    </xf>
    <xf numFmtId="0" fontId="39" fillId="13" borderId="0">
      <alignment horizontal="left" vertical="center"/>
    </xf>
    <xf numFmtId="0" fontId="40" fillId="14" borderId="0" applyBorder="0">
      <alignment horizontal="left" vertical="center" indent="1"/>
    </xf>
    <xf numFmtId="4" fontId="41" fillId="0" borderId="7" applyFill="0" applyBorder="0" applyProtection="0">
      <alignment horizontal="right" vertical="center"/>
    </xf>
    <xf numFmtId="167" fontId="42" fillId="0" borderId="0" applyFont="0" applyFill="0" applyBorder="0" applyAlignment="0" applyProtection="0"/>
    <xf numFmtId="168" fontId="42" fillId="0" borderId="0" applyFont="0" applyFill="0" applyBorder="0" applyAlignment="0" applyProtection="0"/>
    <xf numFmtId="0" fontId="43" fillId="0" borderId="0">
      <alignment vertical="center"/>
    </xf>
    <xf numFmtId="169" fontId="42" fillId="0" borderId="0" applyFont="0" applyFill="0" applyBorder="0" applyAlignment="0" applyProtection="0"/>
    <xf numFmtId="170" fontId="42" fillId="0" borderId="0" applyFont="0" applyFill="0" applyBorder="0" applyAlignment="0" applyProtection="0"/>
    <xf numFmtId="171" fontId="44" fillId="0" borderId="0"/>
    <xf numFmtId="0" fontId="39" fillId="15" borderId="0">
      <alignment horizontal="center" vertical="center" wrapText="1"/>
    </xf>
    <xf numFmtId="172" fontId="44" fillId="16" borderId="0">
      <alignment horizontal="center" vertical="center"/>
    </xf>
    <xf numFmtId="0" fontId="45" fillId="10" borderId="4" applyNumberFormat="0" applyAlignment="0" applyProtection="0"/>
    <xf numFmtId="173" fontId="11" fillId="0" borderId="0" applyFont="0" applyFill="0" applyBorder="0" applyAlignment="0" applyProtection="0">
      <alignment vertical="center"/>
    </xf>
    <xf numFmtId="174" fontId="46" fillId="17" borderId="8" applyBorder="0" applyAlignment="0">
      <alignment horizontal="left" vertical="center" indent="1"/>
    </xf>
    <xf numFmtId="174" fontId="47" fillId="3" borderId="9" applyBorder="0">
      <alignment horizontal="left" vertical="center" indent="1"/>
    </xf>
    <xf numFmtId="0" fontId="48" fillId="0" borderId="0" applyNumberFormat="0" applyFill="0" applyBorder="0" applyAlignment="0" applyProtection="0"/>
    <xf numFmtId="175" fontId="44" fillId="0" borderId="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6" fontId="49" fillId="0" borderId="0"/>
    <xf numFmtId="0" fontId="39" fillId="16" borderId="0">
      <alignment horizontal="left" vertical="center"/>
    </xf>
    <xf numFmtId="177" fontId="49" fillId="0" borderId="0"/>
    <xf numFmtId="178" fontId="44" fillId="0" borderId="0"/>
    <xf numFmtId="179" fontId="49" fillId="0" borderId="0"/>
    <xf numFmtId="180" fontId="44" fillId="0" borderId="0" applyAlignment="0">
      <alignment wrapText="1"/>
    </xf>
    <xf numFmtId="181" fontId="44" fillId="0" borderId="0"/>
    <xf numFmtId="180" fontId="44" fillId="0" borderId="0"/>
    <xf numFmtId="4" fontId="38" fillId="0" borderId="5" applyFill="0" applyBorder="0" applyProtection="0">
      <alignment horizontal="right" vertical="center"/>
    </xf>
    <xf numFmtId="49" fontId="41" fillId="0" borderId="5" applyNumberFormat="0" applyFill="0" applyBorder="0" applyProtection="0">
      <alignment horizontal="left" vertical="center"/>
    </xf>
    <xf numFmtId="0" fontId="38" fillId="0" borderId="5" applyNumberFormat="0" applyFill="0" applyAlignment="0" applyProtection="0"/>
    <xf numFmtId="0" fontId="42" fillId="0" borderId="0"/>
    <xf numFmtId="0" fontId="50" fillId="0" borderId="10" applyFont="0" applyFill="0" applyBorder="0" applyProtection="0">
      <alignment horizontal="center"/>
    </xf>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2" fontId="7" fillId="0" borderId="0"/>
    <xf numFmtId="183" fontId="7" fillId="12" borderId="0">
      <alignment horizontal="center" vertical="center"/>
    </xf>
    <xf numFmtId="11" fontId="50" fillId="0" borderId="0" applyFont="0" applyFill="0" applyBorder="0" applyAlignment="0" applyProtection="0"/>
    <xf numFmtId="0" fontId="7" fillId="0" borderId="0"/>
    <xf numFmtId="0" fontId="39" fillId="0" borderId="0">
      <alignment vertical="center"/>
    </xf>
    <xf numFmtId="0" fontId="7" fillId="0" borderId="0"/>
    <xf numFmtId="0" fontId="2" fillId="0" borderId="0"/>
    <xf numFmtId="0" fontId="2" fillId="0" borderId="0"/>
    <xf numFmtId="0" fontId="2" fillId="0" borderId="0"/>
    <xf numFmtId="0" fontId="2" fillId="0" borderId="0"/>
    <xf numFmtId="0" fontId="51" fillId="0" borderId="0"/>
    <xf numFmtId="184" fontId="44" fillId="0" borderId="0">
      <alignment horizontal="center" vertical="center"/>
    </xf>
    <xf numFmtId="0" fontId="52" fillId="2" borderId="0">
      <alignment vertical="center" wrapText="1"/>
    </xf>
    <xf numFmtId="0" fontId="53" fillId="11" borderId="0" applyBorder="0">
      <alignment horizontal="left" vertical="center" indent="1"/>
    </xf>
    <xf numFmtId="184" fontId="54" fillId="0" borderId="0">
      <alignment horizontal="center" vertical="center"/>
    </xf>
    <xf numFmtId="0" fontId="39" fillId="18" borderId="0">
      <alignment horizontal="left" vertical="center"/>
    </xf>
    <xf numFmtId="0" fontId="39" fillId="18" borderId="0">
      <alignment horizontal="left" vertical="center"/>
    </xf>
    <xf numFmtId="11" fontId="44" fillId="0" borderId="0"/>
    <xf numFmtId="11" fontId="11" fillId="0" borderId="0">
      <alignment horizontal="center" vertical="center" wrapText="1"/>
    </xf>
    <xf numFmtId="172" fontId="7" fillId="0" borderId="0">
      <alignment horizontal="center" vertical="center"/>
    </xf>
    <xf numFmtId="172" fontId="7" fillId="0" borderId="0">
      <alignment horizontal="center" vertical="center"/>
    </xf>
    <xf numFmtId="185" fontId="49" fillId="0" borderId="0">
      <alignment horizontal="center" vertical="center"/>
    </xf>
    <xf numFmtId="186" fontId="49" fillId="0" borderId="0"/>
    <xf numFmtId="43" fontId="7" fillId="0" borderId="0" applyFont="0" applyFill="0" applyBorder="0" applyAlignment="0" applyProtection="0"/>
    <xf numFmtId="49" fontId="41" fillId="0" borderId="29" applyNumberFormat="0" applyFill="0" applyBorder="0" applyProtection="0">
      <alignment horizontal="left" vertical="center"/>
    </xf>
    <xf numFmtId="4" fontId="38" fillId="0" borderId="137" applyFill="0" applyBorder="0" applyProtection="0">
      <alignment horizontal="right" vertical="center"/>
    </xf>
    <xf numFmtId="4" fontId="38" fillId="0" borderId="38" applyFill="0" applyBorder="0" applyProtection="0">
      <alignment horizontal="right" vertical="center"/>
    </xf>
    <xf numFmtId="49" fontId="38" fillId="0" borderId="11" applyNumberFormat="0" applyFont="0" applyFill="0" applyBorder="0" applyProtection="0">
      <alignment horizontal="left" vertical="center" indent="2"/>
    </xf>
    <xf numFmtId="49" fontId="38" fillId="0" borderId="12" applyNumberFormat="0" applyFont="0" applyFill="0" applyBorder="0" applyProtection="0">
      <alignment horizontal="left" vertical="center" indent="5"/>
    </xf>
    <xf numFmtId="49" fontId="41" fillId="0" borderId="35" applyNumberFormat="0" applyFill="0" applyBorder="0" applyProtection="0">
      <alignment horizontal="left" vertical="center"/>
    </xf>
    <xf numFmtId="49" fontId="38" fillId="0" borderId="17" applyNumberFormat="0" applyFont="0" applyFill="0" applyBorder="0" applyProtection="0">
      <alignment horizontal="left" vertical="center" indent="2"/>
    </xf>
    <xf numFmtId="49" fontId="38" fillId="0" borderId="18" applyNumberFormat="0" applyFont="0" applyFill="0" applyBorder="0" applyProtection="0">
      <alignment horizontal="left" vertical="center" indent="5"/>
    </xf>
    <xf numFmtId="49" fontId="38" fillId="0" borderId="23" applyNumberFormat="0" applyFont="0" applyFill="0" applyBorder="0" applyProtection="0">
      <alignment horizontal="left" vertical="center" indent="2"/>
    </xf>
    <xf numFmtId="4" fontId="38" fillId="0" borderId="50" applyFill="0" applyBorder="0" applyProtection="0">
      <alignment horizontal="right" vertical="center"/>
    </xf>
    <xf numFmtId="49" fontId="38" fillId="0" borderId="30" applyNumberFormat="0" applyFont="0" applyFill="0" applyBorder="0" applyProtection="0">
      <alignment horizontal="left" vertical="center" indent="5"/>
    </xf>
    <xf numFmtId="49" fontId="38" fillId="0" borderId="35" applyNumberFormat="0" applyFont="0" applyFill="0" applyBorder="0" applyProtection="0">
      <alignment horizontal="left" vertical="center" indent="2"/>
    </xf>
    <xf numFmtId="49" fontId="38" fillId="0" borderId="41" applyNumberFormat="0" applyFont="0" applyFill="0" applyBorder="0" applyProtection="0">
      <alignment horizontal="left" vertical="center" indent="2"/>
    </xf>
    <xf numFmtId="49" fontId="38" fillId="0" borderId="53" applyNumberFormat="0" applyFont="0" applyFill="0" applyBorder="0" applyProtection="0">
      <alignment horizontal="left" vertical="center" indent="2"/>
    </xf>
    <xf numFmtId="49" fontId="38" fillId="0" borderId="59" applyNumberFormat="0" applyFont="0" applyFill="0" applyBorder="0" applyProtection="0">
      <alignment horizontal="left" vertical="center" indent="2"/>
    </xf>
    <xf numFmtId="49" fontId="38" fillId="0" borderId="71" applyNumberFormat="0" applyFont="0" applyFill="0" applyBorder="0" applyProtection="0">
      <alignment horizontal="left" vertical="center" indent="2"/>
    </xf>
    <xf numFmtId="49" fontId="38" fillId="0" borderId="113" applyNumberFormat="0" applyFont="0" applyFill="0" applyBorder="0" applyProtection="0">
      <alignment horizontal="left" vertical="center" indent="2"/>
    </xf>
    <xf numFmtId="174" fontId="47" fillId="3" borderId="13" applyBorder="0">
      <alignment horizontal="left" vertical="center" indent="1"/>
    </xf>
    <xf numFmtId="174" fontId="47" fillId="3" borderId="19" applyBorder="0">
      <alignment horizontal="left" vertical="center" indent="1"/>
    </xf>
    <xf numFmtId="0" fontId="38" fillId="0" borderId="38" applyNumberFormat="0" applyFill="0" applyAlignment="0" applyProtection="0"/>
    <xf numFmtId="0" fontId="38" fillId="0" borderId="32" applyNumberFormat="0" applyFill="0" applyAlignment="0" applyProtection="0"/>
    <xf numFmtId="49" fontId="41" fillId="0" borderId="32" applyNumberFormat="0" applyFill="0" applyBorder="0" applyProtection="0">
      <alignment horizontal="left" vertical="center"/>
    </xf>
    <xf numFmtId="0" fontId="38" fillId="0" borderId="26" applyNumberFormat="0" applyFill="0" applyAlignment="0" applyProtection="0"/>
    <xf numFmtId="49" fontId="41" fillId="0" borderId="26" applyNumberFormat="0" applyFill="0" applyBorder="0" applyProtection="0">
      <alignment horizontal="left" vertical="center"/>
    </xf>
    <xf numFmtId="4" fontId="38" fillId="0" borderId="26" applyFill="0" applyBorder="0" applyProtection="0">
      <alignment horizontal="right" vertical="center"/>
    </xf>
    <xf numFmtId="0" fontId="38" fillId="0" borderId="20" applyNumberFormat="0" applyFill="0" applyAlignment="0" applyProtection="0"/>
    <xf numFmtId="0" fontId="38" fillId="0" borderId="14" applyNumberFormat="0" applyFill="0" applyAlignment="0" applyProtection="0"/>
    <xf numFmtId="49" fontId="41" fillId="0" borderId="14" applyNumberFormat="0" applyFill="0" applyBorder="0" applyProtection="0">
      <alignment horizontal="left" vertical="center"/>
    </xf>
    <xf numFmtId="4" fontId="38" fillId="0" borderId="14" applyFill="0" applyBorder="0" applyProtection="0">
      <alignment horizontal="right" vertical="center"/>
    </xf>
    <xf numFmtId="49" fontId="41" fillId="0" borderId="20" applyNumberFormat="0" applyFill="0" applyBorder="0" applyProtection="0">
      <alignment horizontal="left" vertical="center"/>
    </xf>
    <xf numFmtId="4" fontId="38" fillId="0" borderId="20" applyFill="0" applyBorder="0" applyProtection="0">
      <alignment horizontal="right" vertical="center"/>
    </xf>
    <xf numFmtId="4" fontId="38" fillId="0" borderId="32" applyFill="0" applyBorder="0" applyProtection="0">
      <alignment horizontal="right" vertical="center"/>
    </xf>
    <xf numFmtId="4" fontId="38" fillId="0" borderId="68" applyFill="0" applyBorder="0" applyProtection="0">
      <alignment horizontal="right" vertical="center"/>
    </xf>
    <xf numFmtId="4" fontId="38" fillId="0" borderId="11" applyFill="0" applyBorder="0" applyProtection="0">
      <alignment horizontal="right" vertical="center"/>
    </xf>
    <xf numFmtId="49" fontId="41" fillId="0" borderId="11" applyNumberFormat="0" applyFill="0" applyBorder="0" applyProtection="0">
      <alignment horizontal="left" vertical="center"/>
    </xf>
    <xf numFmtId="0" fontId="38" fillId="0" borderId="11" applyNumberFormat="0" applyFill="0" applyAlignment="0" applyProtection="0"/>
    <xf numFmtId="0" fontId="38" fillId="0" borderId="137" applyNumberFormat="0" applyFill="0" applyAlignment="0" applyProtection="0"/>
    <xf numFmtId="49" fontId="41" fillId="0" borderId="137" applyNumberFormat="0" applyFill="0" applyBorder="0" applyProtection="0">
      <alignment horizontal="left" vertical="center"/>
    </xf>
    <xf numFmtId="4" fontId="38" fillId="0" borderId="17" applyFill="0" applyBorder="0" applyProtection="0">
      <alignment horizontal="right" vertical="center"/>
    </xf>
    <xf numFmtId="49" fontId="41" fillId="0" borderId="17" applyNumberFormat="0" applyFill="0" applyBorder="0" applyProtection="0">
      <alignment horizontal="left" vertical="center"/>
    </xf>
    <xf numFmtId="0" fontId="38" fillId="0" borderId="17" applyNumberFormat="0" applyFill="0" applyAlignment="0" applyProtection="0"/>
    <xf numFmtId="4" fontId="38" fillId="0" borderId="23" applyFill="0" applyBorder="0" applyProtection="0">
      <alignment horizontal="right" vertical="center"/>
    </xf>
    <xf numFmtId="49" fontId="41" fillId="0" borderId="23" applyNumberFormat="0" applyFill="0" applyBorder="0" applyProtection="0">
      <alignment horizontal="left" vertical="center"/>
    </xf>
    <xf numFmtId="0" fontId="38" fillId="0" borderId="23" applyNumberFormat="0" applyFill="0" applyAlignment="0" applyProtection="0"/>
    <xf numFmtId="0" fontId="38" fillId="0" borderId="29" applyNumberFormat="0" applyFill="0" applyAlignment="0" applyProtection="0"/>
    <xf numFmtId="174" fontId="47" fillId="3" borderId="16" applyBorder="0">
      <alignment horizontal="left" vertical="center" indent="1"/>
    </xf>
    <xf numFmtId="49" fontId="41" fillId="0" borderId="47" applyNumberFormat="0" applyFill="0" applyBorder="0" applyProtection="0">
      <alignment horizontal="left" vertical="center"/>
    </xf>
    <xf numFmtId="174" fontId="47" fillId="3" borderId="22" applyBorder="0">
      <alignment horizontal="left" vertical="center" indent="1"/>
    </xf>
    <xf numFmtId="174" fontId="47" fillId="3" borderId="34" applyBorder="0">
      <alignment horizontal="left" vertical="center" indent="1"/>
    </xf>
    <xf numFmtId="174" fontId="47" fillId="3" borderId="70" applyBorder="0">
      <alignment horizontal="left" vertical="center" indent="1"/>
    </xf>
    <xf numFmtId="49" fontId="38" fillId="0" borderId="80" applyNumberFormat="0" applyFont="0" applyFill="0" applyBorder="0" applyProtection="0">
      <alignment horizontal="left" vertical="center" indent="2"/>
    </xf>
    <xf numFmtId="49" fontId="38" fillId="0" borderId="74" applyNumberFormat="0" applyFont="0" applyFill="0" applyBorder="0" applyProtection="0">
      <alignment horizontal="left" vertical="center" indent="2"/>
    </xf>
    <xf numFmtId="49" fontId="38" fillId="0" borderId="62" applyNumberFormat="0" applyFont="0" applyFill="0" applyBorder="0" applyProtection="0">
      <alignment horizontal="left" vertical="center" indent="2"/>
    </xf>
    <xf numFmtId="49" fontId="38" fillId="0" borderId="56" applyNumberFormat="0" applyFont="0" applyFill="0" applyBorder="0" applyProtection="0">
      <alignment horizontal="left" vertical="center" indent="2"/>
    </xf>
    <xf numFmtId="49" fontId="38" fillId="0" borderId="50" applyNumberFormat="0" applyFont="0" applyFill="0" applyBorder="0" applyProtection="0">
      <alignment horizontal="left" vertical="center" indent="2"/>
    </xf>
    <xf numFmtId="49" fontId="38" fillId="0" borderId="44" applyNumberFormat="0" applyFont="0" applyFill="0" applyBorder="0" applyProtection="0">
      <alignment horizontal="left" vertical="center" indent="2"/>
    </xf>
    <xf numFmtId="49" fontId="38" fillId="0" borderId="38" applyNumberFormat="0" applyFont="0" applyFill="0" applyBorder="0" applyProtection="0">
      <alignment horizontal="left" vertical="center" indent="2"/>
    </xf>
    <xf numFmtId="49" fontId="38" fillId="0" borderId="14" applyNumberFormat="0" applyFont="0" applyFill="0" applyBorder="0" applyProtection="0">
      <alignment horizontal="left" vertical="center" indent="2"/>
    </xf>
    <xf numFmtId="4" fontId="38" fillId="0" borderId="29" applyFill="0" applyBorder="0" applyProtection="0">
      <alignment horizontal="right" vertical="center"/>
    </xf>
    <xf numFmtId="49" fontId="38" fillId="0" borderId="15" applyNumberFormat="0" applyFont="0" applyFill="0" applyBorder="0" applyProtection="0">
      <alignment horizontal="left" vertical="center" indent="5"/>
    </xf>
    <xf numFmtId="174" fontId="47" fillId="3" borderId="37" applyBorder="0">
      <alignment horizontal="left" vertical="center" indent="1"/>
    </xf>
    <xf numFmtId="49" fontId="38" fillId="0" borderId="47" applyNumberFormat="0" applyFont="0" applyFill="0" applyBorder="0" applyProtection="0">
      <alignment horizontal="left" vertical="center" indent="2"/>
    </xf>
    <xf numFmtId="4" fontId="38" fillId="0" borderId="41" applyFill="0" applyBorder="0" applyProtection="0">
      <alignment horizontal="right" vertical="center"/>
    </xf>
    <xf numFmtId="174" fontId="47" fillId="3" borderId="25" applyBorder="0">
      <alignment horizontal="left" vertical="center" indent="1"/>
    </xf>
    <xf numFmtId="174" fontId="47" fillId="3" borderId="28" applyBorder="0">
      <alignment horizontal="left" vertical="center" indent="1"/>
    </xf>
    <xf numFmtId="49" fontId="41" fillId="0" borderId="38" applyNumberFormat="0" applyFill="0" applyBorder="0" applyProtection="0">
      <alignment horizontal="left" vertical="center"/>
    </xf>
    <xf numFmtId="49" fontId="38" fillId="0" borderId="26" applyNumberFormat="0" applyFont="0" applyFill="0" applyBorder="0" applyProtection="0">
      <alignment horizontal="left" vertical="center" indent="2"/>
    </xf>
    <xf numFmtId="49" fontId="38" fillId="0" borderId="20" applyNumberFormat="0" applyFont="0" applyFill="0" applyBorder="0" applyProtection="0">
      <alignment horizontal="left" vertical="center" indent="2"/>
    </xf>
    <xf numFmtId="0" fontId="38" fillId="0" borderId="35" applyNumberFormat="0" applyFill="0" applyAlignment="0" applyProtection="0"/>
    <xf numFmtId="49" fontId="38" fillId="0" borderId="21" applyNumberFormat="0" applyFont="0" applyFill="0" applyBorder="0" applyProtection="0">
      <alignment horizontal="left" vertical="center" indent="5"/>
    </xf>
    <xf numFmtId="4" fontId="38" fillId="0" borderId="44" applyFill="0" applyBorder="0" applyProtection="0">
      <alignment horizontal="right" vertical="center"/>
    </xf>
    <xf numFmtId="4" fontId="38" fillId="0" borderId="86" applyFill="0" applyBorder="0" applyProtection="0">
      <alignment horizontal="right" vertical="center"/>
    </xf>
    <xf numFmtId="0" fontId="38" fillId="0" borderId="44" applyNumberFormat="0" applyFill="0" applyAlignment="0" applyProtection="0"/>
    <xf numFmtId="49" fontId="41" fillId="0" borderId="44" applyNumberFormat="0" applyFill="0" applyBorder="0" applyProtection="0">
      <alignment horizontal="left" vertical="center"/>
    </xf>
    <xf numFmtId="49" fontId="38" fillId="0" borderId="24" applyNumberFormat="0" applyFont="0" applyFill="0" applyBorder="0" applyProtection="0">
      <alignment horizontal="left" vertical="center" indent="5"/>
    </xf>
    <xf numFmtId="49" fontId="41" fillId="0" borderId="41" applyNumberFormat="0" applyFill="0" applyBorder="0" applyProtection="0">
      <alignment horizontal="left" vertical="center"/>
    </xf>
    <xf numFmtId="49" fontId="38" fillId="0" borderId="86" applyNumberFormat="0" applyFont="0" applyFill="0" applyBorder="0" applyProtection="0">
      <alignment horizontal="left" vertical="center" indent="2"/>
    </xf>
    <xf numFmtId="4" fontId="38" fillId="0" borderId="47" applyFill="0" applyBorder="0" applyProtection="0">
      <alignment horizontal="right" vertical="center"/>
    </xf>
    <xf numFmtId="0" fontId="38" fillId="0" borderId="41" applyNumberFormat="0" applyFill="0" applyAlignment="0" applyProtection="0"/>
    <xf numFmtId="49" fontId="38" fillId="0" borderId="27" applyNumberFormat="0" applyFont="0" applyFill="0" applyBorder="0" applyProtection="0">
      <alignment horizontal="left" vertical="center" indent="5"/>
    </xf>
    <xf numFmtId="49" fontId="41" fillId="0" borderId="50" applyNumberFormat="0" applyFill="0" applyBorder="0" applyProtection="0">
      <alignment horizontal="left" vertical="center"/>
    </xf>
    <xf numFmtId="49" fontId="38" fillId="0" borderId="66" applyNumberFormat="0" applyFont="0" applyFill="0" applyBorder="0" applyProtection="0">
      <alignment horizontal="left" vertical="center" indent="5"/>
    </xf>
    <xf numFmtId="174" fontId="47" fillId="3" borderId="73" applyBorder="0">
      <alignment horizontal="left" vertical="center" indent="1"/>
    </xf>
    <xf numFmtId="0" fontId="38" fillId="0" borderId="47" applyNumberFormat="0" applyFill="0" applyAlignment="0" applyProtection="0"/>
    <xf numFmtId="49" fontId="38" fillId="0" borderId="29" applyNumberFormat="0" applyFont="0" applyFill="0" applyBorder="0" applyProtection="0">
      <alignment horizontal="left" vertical="center" indent="2"/>
    </xf>
    <xf numFmtId="174" fontId="47" fillId="3" borderId="40" applyBorder="0">
      <alignment horizontal="left" vertical="center" indent="1"/>
    </xf>
    <xf numFmtId="49" fontId="41" fillId="0" borderId="53" applyNumberFormat="0" applyFill="0" applyBorder="0" applyProtection="0">
      <alignment horizontal="left" vertical="center"/>
    </xf>
    <xf numFmtId="49" fontId="38" fillId="0" borderId="32" applyNumberFormat="0" applyFont="0" applyFill="0" applyBorder="0" applyProtection="0">
      <alignment horizontal="left" vertical="center" indent="2"/>
    </xf>
    <xf numFmtId="4" fontId="38" fillId="0" borderId="53" applyFill="0" applyBorder="0" applyProtection="0">
      <alignment horizontal="right" vertical="center"/>
    </xf>
    <xf numFmtId="49" fontId="38" fillId="0" borderId="33" applyNumberFormat="0" applyFont="0" applyFill="0" applyBorder="0" applyProtection="0">
      <alignment horizontal="left" vertical="center" indent="5"/>
    </xf>
    <xf numFmtId="0" fontId="38" fillId="0" borderId="50" applyNumberFormat="0" applyFill="0" applyAlignment="0" applyProtection="0"/>
    <xf numFmtId="49" fontId="38" fillId="0" borderId="77" applyNumberFormat="0" applyFont="0" applyFill="0" applyBorder="0" applyProtection="0">
      <alignment horizontal="left" vertical="center" indent="2"/>
    </xf>
    <xf numFmtId="49" fontId="41" fillId="0" borderId="56" applyNumberFormat="0" applyFill="0" applyBorder="0" applyProtection="0">
      <alignment horizontal="left" vertical="center"/>
    </xf>
    <xf numFmtId="4" fontId="38" fillId="0" borderId="56" applyFill="0" applyBorder="0" applyProtection="0">
      <alignment horizontal="right" vertical="center"/>
    </xf>
    <xf numFmtId="49" fontId="38" fillId="0" borderId="36" applyNumberFormat="0" applyFont="0" applyFill="0" applyBorder="0" applyProtection="0">
      <alignment horizontal="left" vertical="center" indent="5"/>
    </xf>
    <xf numFmtId="0" fontId="38" fillId="0" borderId="53" applyNumberFormat="0" applyFill="0" applyAlignment="0" applyProtection="0"/>
    <xf numFmtId="49" fontId="38" fillId="0" borderId="92" applyNumberFormat="0" applyFont="0" applyFill="0" applyBorder="0" applyProtection="0">
      <alignment horizontal="left" vertical="center" indent="2"/>
    </xf>
    <xf numFmtId="49" fontId="41" fillId="0" borderId="59" applyNumberFormat="0" applyFill="0" applyBorder="0" applyProtection="0">
      <alignment horizontal="left" vertical="center"/>
    </xf>
    <xf numFmtId="4" fontId="38" fillId="0" borderId="59" applyFill="0" applyBorder="0" applyProtection="0">
      <alignment horizontal="right" vertical="center"/>
    </xf>
    <xf numFmtId="49" fontId="38" fillId="0" borderId="39" applyNumberFormat="0" applyFont="0" applyFill="0" applyBorder="0" applyProtection="0">
      <alignment horizontal="left" vertical="center" indent="5"/>
    </xf>
    <xf numFmtId="0" fontId="38" fillId="0" borderId="56" applyNumberFormat="0" applyFill="0" applyAlignment="0" applyProtection="0"/>
    <xf numFmtId="49" fontId="38" fillId="0" borderId="83" applyNumberFormat="0" applyFont="0" applyFill="0" applyBorder="0" applyProtection="0">
      <alignment horizontal="left" vertical="center" indent="2"/>
    </xf>
    <xf numFmtId="49" fontId="41" fillId="0" borderId="62" applyNumberFormat="0" applyFill="0" applyBorder="0" applyProtection="0">
      <alignment horizontal="left" vertical="center"/>
    </xf>
    <xf numFmtId="4" fontId="38" fillId="0" borderId="62" applyFill="0" applyBorder="0" applyProtection="0">
      <alignment horizontal="right" vertical="center"/>
    </xf>
    <xf numFmtId="49" fontId="38" fillId="0" borderId="42" applyNumberFormat="0" applyFont="0" applyFill="0" applyBorder="0" applyProtection="0">
      <alignment horizontal="left" vertical="center" indent="5"/>
    </xf>
    <xf numFmtId="0" fontId="38" fillId="0" borderId="59" applyNumberFormat="0" applyFill="0" applyAlignment="0" applyProtection="0"/>
    <xf numFmtId="49" fontId="38" fillId="0" borderId="98" applyNumberFormat="0" applyFont="0" applyFill="0" applyBorder="0" applyProtection="0">
      <alignment horizontal="left" vertical="center" indent="2"/>
    </xf>
    <xf numFmtId="4" fontId="38" fillId="0" borderId="65" applyFill="0" applyBorder="0" applyProtection="0">
      <alignment horizontal="right" vertical="center"/>
    </xf>
    <xf numFmtId="49" fontId="38" fillId="0" borderId="45" applyNumberFormat="0" applyFont="0" applyFill="0" applyBorder="0" applyProtection="0">
      <alignment horizontal="left" vertical="center" indent="5"/>
    </xf>
    <xf numFmtId="0" fontId="38" fillId="0" borderId="62" applyNumberFormat="0" applyFill="0" applyAlignment="0" applyProtection="0"/>
    <xf numFmtId="49" fontId="38" fillId="0" borderId="89" applyNumberFormat="0" applyFont="0" applyFill="0" applyBorder="0" applyProtection="0">
      <alignment horizontal="left" vertical="center" indent="2"/>
    </xf>
    <xf numFmtId="0" fontId="38" fillId="0" borderId="68" applyNumberFormat="0" applyFill="0" applyAlignment="0" applyProtection="0"/>
    <xf numFmtId="49" fontId="41" fillId="0" borderId="68" applyNumberFormat="0" applyFill="0" applyBorder="0" applyProtection="0">
      <alignment horizontal="left" vertical="center"/>
    </xf>
    <xf numFmtId="49" fontId="38" fillId="0" borderId="48" applyNumberFormat="0" applyFont="0" applyFill="0" applyBorder="0" applyProtection="0">
      <alignment horizontal="left" vertical="center" indent="5"/>
    </xf>
    <xf numFmtId="49" fontId="41" fillId="0" borderId="65" applyNumberFormat="0" applyFill="0" applyBorder="0" applyProtection="0">
      <alignment horizontal="left" vertical="center"/>
    </xf>
    <xf numFmtId="49" fontId="38" fillId="0" borderId="104" applyNumberFormat="0" applyFont="0" applyFill="0" applyBorder="0" applyProtection="0">
      <alignment horizontal="left" vertical="center" indent="2"/>
    </xf>
    <xf numFmtId="4" fontId="38" fillId="0" borderId="71" applyFill="0" applyBorder="0" applyProtection="0">
      <alignment horizontal="right" vertical="center"/>
    </xf>
    <xf numFmtId="0" fontId="38" fillId="0" borderId="65" applyNumberFormat="0" applyFill="0" applyAlignment="0" applyProtection="0"/>
    <xf numFmtId="49" fontId="38" fillId="0" borderId="51" applyNumberFormat="0" applyFont="0" applyFill="0" applyBorder="0" applyProtection="0">
      <alignment horizontal="left" vertical="center" indent="5"/>
    </xf>
    <xf numFmtId="4" fontId="38" fillId="0" borderId="74" applyFill="0" applyBorder="0" applyProtection="0">
      <alignment horizontal="right" vertical="center"/>
    </xf>
    <xf numFmtId="49" fontId="38" fillId="0" borderId="95" applyNumberFormat="0" applyFont="0" applyFill="0" applyBorder="0" applyProtection="0">
      <alignment horizontal="left" vertical="center" indent="2"/>
    </xf>
    <xf numFmtId="0" fontId="38" fillId="0" borderId="74" applyNumberFormat="0" applyFill="0" applyAlignment="0" applyProtection="0"/>
    <xf numFmtId="49" fontId="41" fillId="0" borderId="74" applyNumberFormat="0" applyFill="0" applyBorder="0" applyProtection="0">
      <alignment horizontal="left" vertical="center"/>
    </xf>
    <xf numFmtId="49" fontId="38" fillId="0" borderId="54" applyNumberFormat="0" applyFont="0" applyFill="0" applyBorder="0" applyProtection="0">
      <alignment horizontal="left" vertical="center" indent="5"/>
    </xf>
    <xf numFmtId="49" fontId="41" fillId="0" borderId="71" applyNumberFormat="0" applyFill="0" applyBorder="0" applyProtection="0">
      <alignment horizontal="left" vertical="center"/>
    </xf>
    <xf numFmtId="49" fontId="38" fillId="0" borderId="110" applyNumberFormat="0" applyFont="0" applyFill="0" applyBorder="0" applyProtection="0">
      <alignment horizontal="left" vertical="center" indent="2"/>
    </xf>
    <xf numFmtId="4" fontId="38" fillId="0" borderId="77" applyFill="0" applyBorder="0" applyProtection="0">
      <alignment horizontal="right" vertical="center"/>
    </xf>
    <xf numFmtId="0" fontId="38" fillId="0" borderId="71" applyNumberFormat="0" applyFill="0" applyAlignment="0" applyProtection="0"/>
    <xf numFmtId="49" fontId="38" fillId="0" borderId="57" applyNumberFormat="0" applyFont="0" applyFill="0" applyBorder="0" applyProtection="0">
      <alignment horizontal="left" vertical="center" indent="5"/>
    </xf>
    <xf numFmtId="4" fontId="38" fillId="0" borderId="80" applyFill="0" applyBorder="0" applyProtection="0">
      <alignment horizontal="right" vertical="center"/>
    </xf>
    <xf numFmtId="49" fontId="38" fillId="0" borderId="101" applyNumberFormat="0" applyFont="0" applyFill="0" applyBorder="0" applyProtection="0">
      <alignment horizontal="left" vertical="center" indent="2"/>
    </xf>
    <xf numFmtId="0" fontId="38" fillId="0" borderId="80" applyNumberFormat="0" applyFill="0" applyAlignment="0" applyProtection="0"/>
    <xf numFmtId="49" fontId="41" fillId="0" borderId="80" applyNumberFormat="0" applyFill="0" applyBorder="0" applyProtection="0">
      <alignment horizontal="left" vertical="center"/>
    </xf>
    <xf numFmtId="49" fontId="38" fillId="0" borderId="60" applyNumberFormat="0" applyFont="0" applyFill="0" applyBorder="0" applyProtection="0">
      <alignment horizontal="left" vertical="center" indent="5"/>
    </xf>
    <xf numFmtId="49" fontId="41" fillId="0" borderId="77" applyNumberFormat="0" applyFill="0" applyBorder="0" applyProtection="0">
      <alignment horizontal="left" vertical="center"/>
    </xf>
    <xf numFmtId="49" fontId="38" fillId="0" borderId="116" applyNumberFormat="0" applyFont="0" applyFill="0" applyBorder="0" applyProtection="0">
      <alignment horizontal="left" vertical="center" indent="2"/>
    </xf>
    <xf numFmtId="4" fontId="38" fillId="0" borderId="83" applyFill="0" applyBorder="0" applyProtection="0">
      <alignment horizontal="right" vertical="center"/>
    </xf>
    <xf numFmtId="0" fontId="38" fillId="0" borderId="77" applyNumberFormat="0" applyFill="0" applyAlignment="0" applyProtection="0"/>
    <xf numFmtId="49" fontId="38" fillId="0" borderId="63" applyNumberFormat="0" applyFont="0" applyFill="0" applyBorder="0" applyProtection="0">
      <alignment horizontal="left" vertical="center" indent="5"/>
    </xf>
    <xf numFmtId="49" fontId="41" fillId="0" borderId="86" applyNumberFormat="0" applyFill="0" applyBorder="0" applyProtection="0">
      <alignment horizontal="left" vertical="center"/>
    </xf>
    <xf numFmtId="49" fontId="38" fillId="0" borderId="107" applyNumberFormat="0" applyFont="0" applyFill="0" applyBorder="0" applyProtection="0">
      <alignment horizontal="left" vertical="center" indent="2"/>
    </xf>
    <xf numFmtId="0" fontId="38" fillId="0" borderId="83" applyNumberFormat="0" applyFill="0" applyAlignment="0" applyProtection="0"/>
    <xf numFmtId="49" fontId="38" fillId="0" borderId="65" applyNumberFormat="0" applyFont="0" applyFill="0" applyBorder="0" applyProtection="0">
      <alignment horizontal="left" vertical="center" indent="2"/>
    </xf>
    <xf numFmtId="174" fontId="47" fillId="3" borderId="76" applyBorder="0">
      <alignment horizontal="left" vertical="center" indent="1"/>
    </xf>
    <xf numFmtId="49" fontId="41" fillId="0" borderId="89" applyNumberFormat="0" applyFill="0" applyBorder="0" applyProtection="0">
      <alignment horizontal="left" vertical="center"/>
    </xf>
    <xf numFmtId="49" fontId="38" fillId="0" borderId="68" applyNumberFormat="0" applyFont="0" applyFill="0" applyBorder="0" applyProtection="0">
      <alignment horizontal="left" vertical="center" indent="2"/>
    </xf>
    <xf numFmtId="4" fontId="38" fillId="0" borderId="89" applyFill="0" applyBorder="0" applyProtection="0">
      <alignment horizontal="right" vertical="center"/>
    </xf>
    <xf numFmtId="49" fontId="38" fillId="0" borderId="69" applyNumberFormat="0" applyFont="0" applyFill="0" applyBorder="0" applyProtection="0">
      <alignment horizontal="left" vertical="center" indent="5"/>
    </xf>
    <xf numFmtId="0" fontId="38" fillId="0" borderId="86" applyNumberFormat="0" applyFill="0" applyAlignment="0" applyProtection="0"/>
    <xf numFmtId="49" fontId="38" fillId="0" borderId="119" applyNumberFormat="0" applyFont="0" applyFill="0" applyBorder="0" applyProtection="0">
      <alignment horizontal="left" vertical="center" indent="2"/>
    </xf>
    <xf numFmtId="49" fontId="41" fillId="0" borderId="92" applyNumberFormat="0" applyFill="0" applyBorder="0" applyProtection="0">
      <alignment horizontal="left" vertical="center"/>
    </xf>
    <xf numFmtId="4" fontId="38" fillId="0" borderId="92" applyFill="0" applyBorder="0" applyProtection="0">
      <alignment horizontal="right" vertical="center"/>
    </xf>
    <xf numFmtId="49" fontId="38" fillId="0" borderId="72" applyNumberFormat="0" applyFont="0" applyFill="0" applyBorder="0" applyProtection="0">
      <alignment horizontal="left" vertical="center" indent="5"/>
    </xf>
    <xf numFmtId="0" fontId="38" fillId="0" borderId="89" applyNumberFormat="0" applyFill="0" applyAlignment="0" applyProtection="0"/>
    <xf numFmtId="49" fontId="38" fillId="0" borderId="122" applyNumberFormat="0" applyFont="0" applyFill="0" applyBorder="0" applyProtection="0">
      <alignment horizontal="left" vertical="center" indent="2"/>
    </xf>
    <xf numFmtId="49" fontId="41" fillId="0" borderId="95" applyNumberFormat="0" applyFill="0" applyBorder="0" applyProtection="0">
      <alignment horizontal="left" vertical="center"/>
    </xf>
    <xf numFmtId="4" fontId="38" fillId="0" borderId="95" applyFill="0" applyBorder="0" applyProtection="0">
      <alignment horizontal="right" vertical="center"/>
    </xf>
    <xf numFmtId="49" fontId="38" fillId="0" borderId="75" applyNumberFormat="0" applyFont="0" applyFill="0" applyBorder="0" applyProtection="0">
      <alignment horizontal="left" vertical="center" indent="5"/>
    </xf>
    <xf numFmtId="0" fontId="38" fillId="0" borderId="92" applyNumberFormat="0" applyFill="0" applyAlignment="0" applyProtection="0"/>
    <xf numFmtId="49" fontId="38" fillId="0" borderId="125" applyNumberFormat="0" applyFont="0" applyFill="0" applyBorder="0" applyProtection="0">
      <alignment horizontal="left" vertical="center" indent="2"/>
    </xf>
    <xf numFmtId="49" fontId="41" fillId="0" borderId="98" applyNumberFormat="0" applyFill="0" applyBorder="0" applyProtection="0">
      <alignment horizontal="left" vertical="center"/>
    </xf>
    <xf numFmtId="4" fontId="38" fillId="0" borderId="98" applyFill="0" applyBorder="0" applyProtection="0">
      <alignment horizontal="right" vertical="center"/>
    </xf>
    <xf numFmtId="49" fontId="38" fillId="0" borderId="78" applyNumberFormat="0" applyFont="0" applyFill="0" applyBorder="0" applyProtection="0">
      <alignment horizontal="left" vertical="center" indent="5"/>
    </xf>
    <xf numFmtId="0" fontId="38" fillId="0" borderId="95" applyNumberFormat="0" applyFill="0" applyAlignment="0" applyProtection="0"/>
    <xf numFmtId="49" fontId="38" fillId="0" borderId="128" applyNumberFormat="0" applyFont="0" applyFill="0" applyBorder="0" applyProtection="0">
      <alignment horizontal="left" vertical="center" indent="2"/>
    </xf>
    <xf numFmtId="49" fontId="41" fillId="0" borderId="101" applyNumberFormat="0" applyFill="0" applyBorder="0" applyProtection="0">
      <alignment horizontal="left" vertical="center"/>
    </xf>
    <xf numFmtId="4" fontId="38" fillId="0" borderId="101" applyFill="0" applyBorder="0" applyProtection="0">
      <alignment horizontal="right" vertical="center"/>
    </xf>
    <xf numFmtId="49" fontId="38" fillId="0" borderId="81" applyNumberFormat="0" applyFont="0" applyFill="0" applyBorder="0" applyProtection="0">
      <alignment horizontal="left" vertical="center" indent="5"/>
    </xf>
    <xf numFmtId="0" fontId="38" fillId="0" borderId="98" applyNumberFormat="0" applyFill="0" applyAlignment="0" applyProtection="0"/>
    <xf numFmtId="49" fontId="38" fillId="0" borderId="131" applyNumberFormat="0" applyFont="0" applyFill="0" applyBorder="0" applyProtection="0">
      <alignment horizontal="left" vertical="center" indent="2"/>
    </xf>
    <xf numFmtId="49" fontId="41" fillId="0" borderId="104" applyNumberFormat="0" applyFill="0" applyBorder="0" applyProtection="0">
      <alignment horizontal="left" vertical="center"/>
    </xf>
    <xf numFmtId="4" fontId="38" fillId="0" borderId="104" applyFill="0" applyBorder="0" applyProtection="0">
      <alignment horizontal="right" vertical="center"/>
    </xf>
    <xf numFmtId="49" fontId="38" fillId="0" borderId="84" applyNumberFormat="0" applyFont="0" applyFill="0" applyBorder="0" applyProtection="0">
      <alignment horizontal="left" vertical="center" indent="5"/>
    </xf>
    <xf numFmtId="0" fontId="38" fillId="0" borderId="101" applyNumberFormat="0" applyFill="0" applyAlignment="0" applyProtection="0"/>
    <xf numFmtId="49" fontId="38" fillId="0" borderId="134" applyNumberFormat="0" applyFont="0" applyFill="0" applyBorder="0" applyProtection="0">
      <alignment horizontal="left" vertical="center" indent="2"/>
    </xf>
    <xf numFmtId="49" fontId="41" fillId="0" borderId="107" applyNumberFormat="0" applyFill="0" applyBorder="0" applyProtection="0">
      <alignment horizontal="left" vertical="center"/>
    </xf>
    <xf numFmtId="4" fontId="38" fillId="0" borderId="107" applyFill="0" applyBorder="0" applyProtection="0">
      <alignment horizontal="right" vertical="center"/>
    </xf>
    <xf numFmtId="49" fontId="38" fillId="0" borderId="87" applyNumberFormat="0" applyFont="0" applyFill="0" applyBorder="0" applyProtection="0">
      <alignment horizontal="left" vertical="center" indent="5"/>
    </xf>
    <xf numFmtId="0" fontId="38" fillId="0" borderId="104" applyNumberFormat="0" applyFill="0" applyAlignment="0" applyProtection="0"/>
    <xf numFmtId="49" fontId="41" fillId="0" borderId="110" applyNumberFormat="0" applyFill="0" applyBorder="0" applyProtection="0">
      <alignment horizontal="left" vertical="center"/>
    </xf>
    <xf numFmtId="4" fontId="38" fillId="0" borderId="110" applyFill="0" applyBorder="0" applyProtection="0">
      <alignment horizontal="right" vertical="center"/>
    </xf>
    <xf numFmtId="49" fontId="38" fillId="0" borderId="90" applyNumberFormat="0" applyFont="0" applyFill="0" applyBorder="0" applyProtection="0">
      <alignment horizontal="left" vertical="center" indent="5"/>
    </xf>
    <xf numFmtId="0" fontId="38" fillId="0" borderId="107" applyNumberFormat="0" applyFill="0" applyAlignment="0" applyProtection="0"/>
    <xf numFmtId="49" fontId="38" fillId="0" borderId="137" applyNumberFormat="0" applyFont="0" applyFill="0" applyBorder="0" applyProtection="0">
      <alignment horizontal="left" vertical="center" indent="2"/>
    </xf>
    <xf numFmtId="49" fontId="41" fillId="0" borderId="113" applyNumberFormat="0" applyFill="0" applyBorder="0" applyProtection="0">
      <alignment horizontal="left" vertical="center"/>
    </xf>
    <xf numFmtId="4" fontId="38" fillId="0" borderId="113" applyFill="0" applyBorder="0" applyProtection="0">
      <alignment horizontal="right" vertical="center"/>
    </xf>
    <xf numFmtId="49" fontId="38" fillId="0" borderId="93" applyNumberFormat="0" applyFont="0" applyFill="0" applyBorder="0" applyProtection="0">
      <alignment horizontal="left" vertical="center" indent="5"/>
    </xf>
    <xf numFmtId="0" fontId="38" fillId="0" borderId="110" applyNumberFormat="0" applyFill="0" applyAlignment="0" applyProtection="0"/>
    <xf numFmtId="49" fontId="41" fillId="0" borderId="116" applyNumberFormat="0" applyFill="0" applyBorder="0" applyProtection="0">
      <alignment horizontal="left" vertical="center"/>
    </xf>
    <xf numFmtId="4" fontId="38" fillId="0" borderId="116" applyFill="0" applyBorder="0" applyProtection="0">
      <alignment horizontal="right" vertical="center"/>
    </xf>
    <xf numFmtId="49" fontId="38" fillId="0" borderId="96" applyNumberFormat="0" applyFont="0" applyFill="0" applyBorder="0" applyProtection="0">
      <alignment horizontal="left" vertical="center" indent="5"/>
    </xf>
    <xf numFmtId="0" fontId="38" fillId="0" borderId="113" applyNumberFormat="0" applyFill="0" applyAlignment="0" applyProtection="0"/>
    <xf numFmtId="49" fontId="41" fillId="0" borderId="119" applyNumberFormat="0" applyFill="0" applyBorder="0" applyProtection="0">
      <alignment horizontal="left" vertical="center"/>
    </xf>
    <xf numFmtId="4" fontId="38" fillId="0" borderId="119" applyFill="0" applyBorder="0" applyProtection="0">
      <alignment horizontal="right" vertical="center"/>
    </xf>
    <xf numFmtId="49" fontId="38" fillId="0" borderId="99" applyNumberFormat="0" applyFont="0" applyFill="0" applyBorder="0" applyProtection="0">
      <alignment horizontal="left" vertical="center" indent="5"/>
    </xf>
    <xf numFmtId="0" fontId="38" fillId="0" borderId="116" applyNumberFormat="0" applyFill="0" applyAlignment="0" applyProtection="0"/>
    <xf numFmtId="49" fontId="41" fillId="0" borderId="122" applyNumberFormat="0" applyFill="0" applyBorder="0" applyProtection="0">
      <alignment horizontal="left" vertical="center"/>
    </xf>
    <xf numFmtId="4" fontId="38" fillId="0" borderId="122" applyFill="0" applyBorder="0" applyProtection="0">
      <alignment horizontal="right" vertical="center"/>
    </xf>
    <xf numFmtId="49" fontId="38" fillId="0" borderId="102" applyNumberFormat="0" applyFont="0" applyFill="0" applyBorder="0" applyProtection="0">
      <alignment horizontal="left" vertical="center" indent="5"/>
    </xf>
    <xf numFmtId="0" fontId="38" fillId="0" borderId="119" applyNumberFormat="0" applyFill="0" applyAlignment="0" applyProtection="0"/>
    <xf numFmtId="49" fontId="41" fillId="0" borderId="125" applyNumberFormat="0" applyFill="0" applyBorder="0" applyProtection="0">
      <alignment horizontal="left" vertical="center"/>
    </xf>
    <xf numFmtId="4" fontId="38" fillId="0" borderId="125" applyFill="0" applyBorder="0" applyProtection="0">
      <alignment horizontal="right" vertical="center"/>
    </xf>
    <xf numFmtId="49" fontId="38" fillId="0" borderId="105" applyNumberFormat="0" applyFont="0" applyFill="0" applyBorder="0" applyProtection="0">
      <alignment horizontal="left" vertical="center" indent="5"/>
    </xf>
    <xf numFmtId="0" fontId="38" fillId="0" borderId="122" applyNumberFormat="0" applyFill="0" applyAlignment="0" applyProtection="0"/>
    <xf numFmtId="49" fontId="41" fillId="0" borderId="128" applyNumberFormat="0" applyFill="0" applyBorder="0" applyProtection="0">
      <alignment horizontal="left" vertical="center"/>
    </xf>
    <xf numFmtId="4" fontId="38" fillId="0" borderId="128" applyFill="0" applyBorder="0" applyProtection="0">
      <alignment horizontal="right" vertical="center"/>
    </xf>
    <xf numFmtId="49" fontId="38" fillId="0" borderId="108" applyNumberFormat="0" applyFont="0" applyFill="0" applyBorder="0" applyProtection="0">
      <alignment horizontal="left" vertical="center" indent="5"/>
    </xf>
    <xf numFmtId="0" fontId="38" fillId="0" borderId="125" applyNumberFormat="0" applyFill="0" applyAlignment="0" applyProtection="0"/>
    <xf numFmtId="49" fontId="41" fillId="0" borderId="131" applyNumberFormat="0" applyFill="0" applyBorder="0" applyProtection="0">
      <alignment horizontal="left" vertical="center"/>
    </xf>
    <xf numFmtId="4" fontId="38" fillId="0" borderId="131" applyFill="0" applyBorder="0" applyProtection="0">
      <alignment horizontal="right" vertical="center"/>
    </xf>
    <xf numFmtId="49" fontId="38" fillId="0" borderId="111" applyNumberFormat="0" applyFont="0" applyFill="0" applyBorder="0" applyProtection="0">
      <alignment horizontal="left" vertical="center" indent="5"/>
    </xf>
    <xf numFmtId="0" fontId="38" fillId="0" borderId="128" applyNumberFormat="0" applyFill="0" applyAlignment="0" applyProtection="0"/>
    <xf numFmtId="49" fontId="41" fillId="0" borderId="134" applyNumberFormat="0" applyFill="0" applyBorder="0" applyProtection="0">
      <alignment horizontal="left" vertical="center"/>
    </xf>
    <xf numFmtId="4" fontId="38" fillId="0" borderId="134" applyFill="0" applyBorder="0" applyProtection="0">
      <alignment horizontal="right" vertical="center"/>
    </xf>
    <xf numFmtId="49" fontId="38" fillId="0" borderId="114" applyNumberFormat="0" applyFont="0" applyFill="0" applyBorder="0" applyProtection="0">
      <alignment horizontal="left" vertical="center" indent="5"/>
    </xf>
    <xf numFmtId="0" fontId="38" fillId="0" borderId="131" applyNumberFormat="0" applyFill="0" applyAlignment="0" applyProtection="0"/>
    <xf numFmtId="49" fontId="38" fillId="0" borderId="117" applyNumberFormat="0" applyFont="0" applyFill="0" applyBorder="0" applyProtection="0">
      <alignment horizontal="left" vertical="center" indent="5"/>
    </xf>
    <xf numFmtId="0" fontId="38" fillId="0" borderId="134" applyNumberFormat="0" applyFill="0" applyAlignment="0" applyProtection="0"/>
    <xf numFmtId="49" fontId="38" fillId="0" borderId="120" applyNumberFormat="0" applyFont="0" applyFill="0" applyBorder="0" applyProtection="0">
      <alignment horizontal="left" vertical="center" indent="5"/>
    </xf>
    <xf numFmtId="49" fontId="38" fillId="0" borderId="123" applyNumberFormat="0" applyFont="0" applyFill="0" applyBorder="0" applyProtection="0">
      <alignment horizontal="left" vertical="center" indent="5"/>
    </xf>
    <xf numFmtId="49" fontId="38" fillId="0" borderId="126" applyNumberFormat="0" applyFont="0" applyFill="0" applyBorder="0" applyProtection="0">
      <alignment horizontal="left" vertical="center" indent="5"/>
    </xf>
    <xf numFmtId="49" fontId="38" fillId="0" borderId="129" applyNumberFormat="0" applyFont="0" applyFill="0" applyBorder="0" applyProtection="0">
      <alignment horizontal="left" vertical="center" indent="5"/>
    </xf>
    <xf numFmtId="49" fontId="38" fillId="0" borderId="132" applyNumberFormat="0" applyFont="0" applyFill="0" applyBorder="0" applyProtection="0">
      <alignment horizontal="left" vertical="center" indent="5"/>
    </xf>
    <xf numFmtId="49" fontId="38" fillId="0" borderId="135" applyNumberFormat="0" applyFont="0" applyFill="0" applyBorder="0" applyProtection="0">
      <alignment horizontal="left" vertical="center" indent="5"/>
    </xf>
    <xf numFmtId="49" fontId="38" fillId="0" borderId="138" applyNumberFormat="0" applyFont="0" applyFill="0" applyBorder="0" applyProtection="0">
      <alignment horizontal="left" vertical="center" indent="5"/>
    </xf>
    <xf numFmtId="174" fontId="47" fillId="3" borderId="148" applyBorder="0">
      <alignment horizontal="left" vertical="center" indent="1"/>
    </xf>
    <xf numFmtId="174" fontId="47" fillId="3" borderId="151" applyBorder="0">
      <alignment horizontal="left" vertical="center" indent="1"/>
    </xf>
    <xf numFmtId="174" fontId="47" fillId="3" borderId="154" applyBorder="0">
      <alignment horizontal="left" vertical="center" indent="1"/>
    </xf>
    <xf numFmtId="174" fontId="47" fillId="3" borderId="157" applyBorder="0">
      <alignment horizontal="left" vertical="center" indent="1"/>
    </xf>
    <xf numFmtId="174" fontId="47" fillId="3" borderId="163" applyBorder="0">
      <alignment horizontal="left" vertical="center" indent="1"/>
    </xf>
    <xf numFmtId="174" fontId="47" fillId="3" borderId="169" applyBorder="0">
      <alignment horizontal="left" vertical="center" indent="1"/>
    </xf>
    <xf numFmtId="174" fontId="47" fillId="3" borderId="172" applyBorder="0">
      <alignment horizontal="left" vertical="center" indent="1"/>
    </xf>
    <xf numFmtId="174" fontId="47" fillId="3" borderId="175" applyBorder="0">
      <alignment horizontal="left" vertical="center" indent="1"/>
    </xf>
    <xf numFmtId="174" fontId="47" fillId="3" borderId="178" applyBorder="0">
      <alignment horizontal="left" vertical="center" indent="1"/>
    </xf>
    <xf numFmtId="174" fontId="47" fillId="3" borderId="184" applyBorder="0">
      <alignment horizontal="left" vertical="center" indent="1"/>
    </xf>
    <xf numFmtId="49" fontId="38" fillId="0" borderId="161" applyNumberFormat="0" applyFont="0" applyFill="0" applyBorder="0" applyProtection="0">
      <alignment horizontal="left" vertical="center" indent="2"/>
    </xf>
    <xf numFmtId="43" fontId="1" fillId="0" borderId="0" applyFont="0" applyFill="0" applyBorder="0" applyAlignment="0" applyProtection="0"/>
    <xf numFmtId="0" fontId="38" fillId="0" borderId="179" applyNumberFormat="0" applyFill="0" applyAlignment="0" applyProtection="0"/>
    <xf numFmtId="49" fontId="38" fillId="0" borderId="165" applyNumberFormat="0" applyFont="0" applyFill="0" applyBorder="0" applyProtection="0">
      <alignment horizontal="left" vertical="center" indent="5"/>
    </xf>
    <xf numFmtId="4" fontId="38" fillId="0" borderId="185" applyFill="0" applyBorder="0" applyProtection="0">
      <alignment horizontal="right" vertical="center"/>
    </xf>
    <xf numFmtId="49" fontId="38" fillId="0" borderId="180" applyNumberFormat="0" applyFont="0" applyFill="0" applyBorder="0" applyProtection="0">
      <alignment horizontal="left" vertical="center" indent="5"/>
    </xf>
    <xf numFmtId="49" fontId="38" fillId="0" borderId="179" applyNumberFormat="0" applyFont="0" applyFill="0" applyBorder="0" applyProtection="0">
      <alignment horizontal="left" vertical="center" indent="2"/>
    </xf>
    <xf numFmtId="49" fontId="38" fillId="0" borderId="182" applyNumberFormat="0" applyFont="0" applyFill="0" applyBorder="0" applyProtection="0">
      <alignment horizontal="left" vertical="center" indent="2"/>
    </xf>
    <xf numFmtId="174" fontId="47" fillId="3" borderId="142" applyBorder="0">
      <alignment horizontal="left" vertical="center" indent="1"/>
    </xf>
    <xf numFmtId="49" fontId="41" fillId="0" borderId="161" applyNumberFormat="0" applyFill="0" applyBorder="0" applyProtection="0">
      <alignment horizontal="left" vertical="center"/>
    </xf>
    <xf numFmtId="4" fontId="38" fillId="0" borderId="161" applyFill="0" applyBorder="0" applyProtection="0">
      <alignment horizontal="right" vertical="center"/>
    </xf>
    <xf numFmtId="0" fontId="38" fillId="0" borderId="149" applyNumberFormat="0" applyFill="0" applyAlignment="0" applyProtection="0"/>
    <xf numFmtId="49" fontId="41" fillId="0" borderId="149" applyNumberFormat="0" applyFill="0" applyBorder="0" applyProtection="0">
      <alignment horizontal="left" vertical="center"/>
    </xf>
    <xf numFmtId="4" fontId="38" fillId="0" borderId="149" applyFill="0" applyBorder="0" applyProtection="0">
      <alignment horizontal="right" vertical="center"/>
    </xf>
    <xf numFmtId="0" fontId="38" fillId="0" borderId="143" applyNumberFormat="0" applyFill="0" applyAlignment="0" applyProtection="0"/>
    <xf numFmtId="49" fontId="41" fillId="0" borderId="143" applyNumberFormat="0" applyFill="0" applyBorder="0" applyProtection="0">
      <alignment horizontal="left" vertical="center"/>
    </xf>
    <xf numFmtId="4" fontId="38" fillId="0" borderId="143" applyFill="0" applyBorder="0" applyProtection="0">
      <alignment horizontal="right" vertical="center"/>
    </xf>
    <xf numFmtId="0" fontId="38" fillId="0" borderId="176" applyNumberFormat="0" applyFill="0" applyAlignment="0" applyProtection="0"/>
    <xf numFmtId="4" fontId="38" fillId="0" borderId="155" applyFill="0" applyBorder="0" applyProtection="0">
      <alignment horizontal="righ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41" fillId="0" borderId="155" applyNumberFormat="0" applyFill="0" applyBorder="0" applyProtection="0">
      <alignment horizontal="left" vertical="center"/>
    </xf>
    <xf numFmtId="0" fontId="38" fillId="0" borderId="155" applyNumberFormat="0" applyFill="0" applyAlignment="0" applyProtection="0"/>
    <xf numFmtId="4" fontId="38" fillId="0" borderId="140" applyFill="0" applyBorder="0" applyProtection="0">
      <alignment horizontal="right" vertical="center"/>
    </xf>
    <xf numFmtId="49" fontId="41" fillId="0" borderId="140" applyNumberFormat="0" applyFill="0" applyBorder="0" applyProtection="0">
      <alignment horizontal="left" vertical="center"/>
    </xf>
    <xf numFmtId="0" fontId="38" fillId="0" borderId="140" applyNumberFormat="0" applyFill="0" applyAlignment="0" applyProtection="0"/>
    <xf numFmtId="4" fontId="38" fillId="0" borderId="146" applyFill="0" applyBorder="0" applyProtection="0">
      <alignment horizontal="right" vertical="center"/>
    </xf>
    <xf numFmtId="49" fontId="41" fillId="0" borderId="146" applyNumberFormat="0" applyFill="0" applyBorder="0" applyProtection="0">
      <alignment horizontal="left" vertical="center"/>
    </xf>
    <xf numFmtId="0" fontId="38" fillId="0" borderId="146" applyNumberFormat="0" applyFill="0" applyAlignment="0" applyProtection="0"/>
    <xf numFmtId="4" fontId="38" fillId="0" borderId="152" applyFill="0" applyBorder="0" applyProtection="0">
      <alignment horizontal="right" vertical="center"/>
    </xf>
    <xf numFmtId="49" fontId="41" fillId="0" borderId="152" applyNumberFormat="0" applyFill="0" applyBorder="0" applyProtection="0">
      <alignment horizontal="left" vertical="center"/>
    </xf>
    <xf numFmtId="0" fontId="38" fillId="0" borderId="152" applyNumberFormat="0" applyFill="0" applyAlignment="0" applyProtection="0"/>
    <xf numFmtId="49" fontId="41" fillId="0" borderId="176" applyNumberFormat="0" applyFill="0" applyBorder="0" applyProtection="0">
      <alignment horizontal="left" vertical="center"/>
    </xf>
    <xf numFmtId="4" fontId="38" fillId="0" borderId="176" applyFill="0" applyBorder="0" applyProtection="0">
      <alignment horizontal="right" vertical="center"/>
    </xf>
    <xf numFmtId="9" fontId="1" fillId="0" borderId="0" applyFont="0" applyFill="0" applyBorder="0" applyAlignment="0" applyProtection="0"/>
    <xf numFmtId="9" fontId="1" fillId="0" borderId="0" applyFont="0" applyFill="0" applyBorder="0" applyAlignment="0" applyProtection="0"/>
    <xf numFmtId="49" fontId="38" fillId="0" borderId="186" applyNumberFormat="0" applyFont="0" applyFill="0" applyBorder="0" applyProtection="0">
      <alignment horizontal="left" vertical="center" indent="5"/>
    </xf>
    <xf numFmtId="49" fontId="38" fillId="0" borderId="158" applyNumberFormat="0" applyFont="0" applyFill="0" applyBorder="0" applyProtection="0">
      <alignment horizontal="left" vertical="center" indent="2"/>
    </xf>
    <xf numFmtId="4" fontId="38" fillId="0" borderId="182" applyFill="0" applyBorder="0" applyProtection="0">
      <alignment horizontal="right" vertical="center"/>
    </xf>
    <xf numFmtId="0" fontId="1" fillId="0" borderId="0"/>
    <xf numFmtId="0" fontId="1" fillId="0" borderId="0"/>
    <xf numFmtId="0" fontId="1" fillId="0" borderId="0"/>
    <xf numFmtId="0" fontId="1" fillId="0" borderId="0"/>
    <xf numFmtId="49" fontId="38" fillId="0" borderId="159" applyNumberFormat="0" applyFont="0" applyFill="0" applyBorder="0" applyProtection="0">
      <alignment horizontal="left" vertical="center" indent="5"/>
    </xf>
    <xf numFmtId="49" fontId="38" fillId="0" borderId="149" applyNumberFormat="0" applyFont="0" applyFill="0" applyBorder="0" applyProtection="0">
      <alignment horizontal="left" vertical="center" indent="2"/>
    </xf>
    <xf numFmtId="49" fontId="38" fillId="0" borderId="143" applyNumberFormat="0" applyFont="0" applyFill="0" applyBorder="0" applyProtection="0">
      <alignment horizontal="left" vertical="center" indent="2"/>
    </xf>
    <xf numFmtId="4" fontId="38" fillId="0" borderId="164" applyFill="0" applyBorder="0" applyProtection="0">
      <alignment horizontal="right" vertical="center"/>
    </xf>
    <xf numFmtId="49" fontId="38" fillId="0" borderId="144" applyNumberFormat="0" applyFont="0" applyFill="0" applyBorder="0" applyProtection="0">
      <alignment horizontal="left" vertical="center" indent="5"/>
    </xf>
    <xf numFmtId="0" fontId="38" fillId="0" borderId="158" applyNumberFormat="0" applyFill="0" applyAlignment="0" applyProtection="0"/>
    <xf numFmtId="49" fontId="38" fillId="0" borderId="164" applyNumberFormat="0" applyFont="0" applyFill="0" applyBorder="0" applyProtection="0">
      <alignment horizontal="left" vertical="center" indent="2"/>
    </xf>
    <xf numFmtId="174" fontId="47" fillId="3" borderId="145" applyBorder="0">
      <alignment horizontal="left" vertical="center" indent="1"/>
    </xf>
    <xf numFmtId="0" fontId="38" fillId="0" borderId="161" applyNumberFormat="0" applyFill="0" applyAlignment="0" applyProtection="0"/>
    <xf numFmtId="49" fontId="41" fillId="0" borderId="158" applyNumberFormat="0" applyFill="0" applyBorder="0" applyProtection="0">
      <alignment horizontal="left" vertical="center"/>
    </xf>
    <xf numFmtId="49" fontId="38" fillId="0" borderId="185" applyNumberFormat="0" applyFont="0" applyFill="0" applyBorder="0" applyProtection="0">
      <alignment horizontal="left" vertical="center" indent="2"/>
    </xf>
    <xf numFmtId="49" fontId="38" fillId="0" borderId="155" applyNumberFormat="0" applyFont="0" applyFill="0" applyBorder="0" applyProtection="0">
      <alignment horizontal="left" vertical="center" indent="2"/>
    </xf>
    <xf numFmtId="49" fontId="38" fillId="0" borderId="152" applyNumberFormat="0" applyFont="0" applyFill="0" applyBorder="0" applyProtection="0">
      <alignment horizontal="left" vertical="center" indent="2"/>
    </xf>
    <xf numFmtId="49" fontId="38" fillId="0" borderId="146" applyNumberFormat="0" applyFont="0" applyFill="0" applyBorder="0" applyProtection="0">
      <alignment horizontal="left" vertical="center" indent="2"/>
    </xf>
    <xf numFmtId="49" fontId="38" fillId="0" borderId="140" applyNumberFormat="0" applyFont="0" applyFill="0" applyBorder="0" applyProtection="0">
      <alignment horizontal="left" vertical="center" indent="2"/>
    </xf>
    <xf numFmtId="4" fontId="38" fillId="0" borderId="158" applyFill="0" applyBorder="0" applyProtection="0">
      <alignment horizontal="right" vertical="center"/>
    </xf>
    <xf numFmtId="49" fontId="38" fillId="0" borderId="141" applyNumberFormat="0" applyFont="0" applyFill="0" applyBorder="0" applyProtection="0">
      <alignment horizontal="left" vertical="center" indent="5"/>
    </xf>
    <xf numFmtId="49" fontId="41" fillId="0" borderId="167" applyNumberFormat="0" applyFill="0" applyBorder="0" applyProtection="0">
      <alignment horizontal="left" vertical="center"/>
    </xf>
    <xf numFmtId="49" fontId="41" fillId="0" borderId="164" applyNumberFormat="0" applyFill="0" applyBorder="0" applyProtection="0">
      <alignment horizontal="left" vertical="center"/>
    </xf>
    <xf numFmtId="4" fontId="38" fillId="0" borderId="167" applyFill="0" applyBorder="0" applyProtection="0">
      <alignment horizontal="right" vertical="center"/>
    </xf>
    <xf numFmtId="49" fontId="38" fillId="0" borderId="147" applyNumberFormat="0" applyFont="0" applyFill="0" applyBorder="0" applyProtection="0">
      <alignment horizontal="left" vertical="center" indent="5"/>
    </xf>
    <xf numFmtId="0" fontId="38" fillId="0" borderId="164" applyNumberFormat="0" applyFill="0" applyAlignment="0" applyProtection="0"/>
    <xf numFmtId="49" fontId="38" fillId="0" borderId="167" applyNumberFormat="0" applyFont="0" applyFill="0" applyBorder="0" applyProtection="0">
      <alignment horizontal="left" vertical="center" indent="2"/>
    </xf>
    <xf numFmtId="49" fontId="41" fillId="0" borderId="170" applyNumberFormat="0" applyFill="0" applyBorder="0" applyProtection="0">
      <alignment horizontal="left" vertical="center"/>
    </xf>
    <xf numFmtId="4" fontId="38" fillId="0" borderId="170" applyFill="0" applyBorder="0" applyProtection="0">
      <alignment horizontal="right" vertical="center"/>
    </xf>
    <xf numFmtId="49" fontId="38" fillId="0" borderId="150" applyNumberFormat="0" applyFont="0" applyFill="0" applyBorder="0" applyProtection="0">
      <alignment horizontal="left" vertical="center" indent="5"/>
    </xf>
    <xf numFmtId="0" fontId="38" fillId="0" borderId="167" applyNumberFormat="0" applyFill="0" applyAlignment="0" applyProtection="0"/>
    <xf numFmtId="49" fontId="38" fillId="0" borderId="170" applyNumberFormat="0" applyFont="0" applyFill="0" applyBorder="0" applyProtection="0">
      <alignment horizontal="left" vertical="center" indent="2"/>
    </xf>
    <xf numFmtId="49" fontId="41" fillId="0" borderId="173" applyNumberFormat="0" applyFill="0" applyBorder="0" applyProtection="0">
      <alignment horizontal="left" vertical="center"/>
    </xf>
    <xf numFmtId="4" fontId="38" fillId="0" borderId="173" applyFill="0" applyBorder="0" applyProtection="0">
      <alignment horizontal="right" vertical="center"/>
    </xf>
    <xf numFmtId="49" fontId="38" fillId="0" borderId="153" applyNumberFormat="0" applyFont="0" applyFill="0" applyBorder="0" applyProtection="0">
      <alignment horizontal="left" vertical="center" indent="5"/>
    </xf>
    <xf numFmtId="49" fontId="38" fillId="0" borderId="173" applyNumberFormat="0" applyFont="0" applyFill="0" applyBorder="0" applyProtection="0">
      <alignment horizontal="left" vertical="center" indent="2"/>
    </xf>
    <xf numFmtId="174" fontId="47" fillId="3" borderId="160" applyBorder="0">
      <alignment horizontal="left" vertical="center" indent="1"/>
    </xf>
    <xf numFmtId="0" fontId="38" fillId="0" borderId="173" applyNumberFormat="0" applyFill="0" applyAlignment="0" applyProtection="0"/>
    <xf numFmtId="49" fontId="38" fillId="0" borderId="156" applyNumberFormat="0" applyFont="0" applyFill="0" applyBorder="0" applyProtection="0">
      <alignment horizontal="left" vertical="center" indent="5"/>
    </xf>
    <xf numFmtId="0" fontId="38" fillId="0" borderId="170" applyNumberFormat="0" applyFill="0" applyAlignment="0" applyProtection="0"/>
    <xf numFmtId="49" fontId="38" fillId="0" borderId="176" applyNumberFormat="0" applyFont="0" applyFill="0" applyBorder="0" applyProtection="0">
      <alignment horizontal="left" vertical="center" indent="2"/>
    </xf>
    <xf numFmtId="49" fontId="41" fillId="0" borderId="182" applyNumberFormat="0" applyFill="0" applyBorder="0" applyProtection="0">
      <alignment horizontal="left" vertical="center"/>
    </xf>
    <xf numFmtId="174" fontId="47" fillId="3" borderId="166" applyBorder="0">
      <alignment horizontal="left" vertical="center" indent="1"/>
    </xf>
    <xf numFmtId="0" fontId="38" fillId="0" borderId="182" applyNumberFormat="0" applyFill="0" applyAlignment="0" applyProtection="0"/>
    <xf numFmtId="49" fontId="41" fillId="0" borderId="179" applyNumberFormat="0" applyFill="0" applyBorder="0" applyProtection="0">
      <alignment horizontal="left" vertical="center"/>
    </xf>
    <xf numFmtId="4" fontId="38" fillId="0" borderId="179" applyFill="0" applyBorder="0" applyProtection="0">
      <alignment horizontal="right" vertical="center"/>
    </xf>
    <xf numFmtId="49" fontId="38" fillId="0" borderId="162" applyNumberFormat="0" applyFont="0" applyFill="0" applyBorder="0" applyProtection="0">
      <alignment horizontal="left" vertical="center" indent="5"/>
    </xf>
    <xf numFmtId="49" fontId="41" fillId="0" borderId="185" applyNumberFormat="0" applyFill="0" applyBorder="0" applyProtection="0">
      <alignment horizontal="left" vertical="center"/>
    </xf>
    <xf numFmtId="49" fontId="38" fillId="0" borderId="168" applyNumberFormat="0" applyFont="0" applyFill="0" applyBorder="0" applyProtection="0">
      <alignment horizontal="left" vertical="center" indent="5"/>
    </xf>
    <xf numFmtId="0" fontId="38" fillId="0" borderId="185" applyNumberFormat="0" applyFill="0" applyAlignment="0" applyProtection="0"/>
    <xf numFmtId="49" fontId="38" fillId="0" borderId="171" applyNumberFormat="0" applyFont="0" applyFill="0" applyBorder="0" applyProtection="0">
      <alignment horizontal="left" vertical="center" indent="5"/>
    </xf>
    <xf numFmtId="49" fontId="38" fillId="0" borderId="174" applyNumberFormat="0" applyFont="0" applyFill="0" applyBorder="0" applyProtection="0">
      <alignment horizontal="left" vertical="center" indent="5"/>
    </xf>
    <xf numFmtId="174" fontId="47" fillId="3" borderId="181" applyBorder="0">
      <alignment horizontal="left" vertical="center" indent="1"/>
    </xf>
    <xf numFmtId="49" fontId="38" fillId="0" borderId="177" applyNumberFormat="0" applyFont="0" applyFill="0" applyBorder="0" applyProtection="0">
      <alignment horizontal="left" vertical="center" indent="5"/>
    </xf>
    <xf numFmtId="174" fontId="47" fillId="3" borderId="187" applyBorder="0">
      <alignment horizontal="left" vertical="center" indent="1"/>
    </xf>
    <xf numFmtId="49" fontId="38" fillId="0" borderId="183" applyNumberFormat="0" applyFont="0" applyFill="0" applyBorder="0" applyProtection="0">
      <alignment horizontal="left" vertical="center" indent="5"/>
    </xf>
  </cellStyleXfs>
  <cellXfs count="111">
    <xf numFmtId="0" fontId="0" fillId="0" borderId="0" xfId="0"/>
    <xf numFmtId="0" fontId="7" fillId="0" borderId="0" xfId="0" applyFont="1" applyProtection="1">
      <protection hidden="1"/>
    </xf>
    <xf numFmtId="0" fontId="9" fillId="0" borderId="0" xfId="2" applyProtection="1">
      <protection hidden="1"/>
    </xf>
    <xf numFmtId="0" fontId="14" fillId="0" borderId="0" xfId="0" applyFont="1"/>
    <xf numFmtId="0" fontId="14" fillId="0" borderId="1" xfId="0" applyFont="1" applyBorder="1"/>
    <xf numFmtId="0" fontId="11" fillId="0" borderId="0" xfId="0" applyFont="1"/>
    <xf numFmtId="9" fontId="11" fillId="0" borderId="0" xfId="0" applyNumberFormat="1" applyFont="1"/>
    <xf numFmtId="0" fontId="7" fillId="0" borderId="0" xfId="0" applyFont="1" applyAlignment="1">
      <alignment vertical="center"/>
    </xf>
    <xf numFmtId="0" fontId="7" fillId="0" borderId="0" xfId="0" applyFont="1"/>
    <xf numFmtId="0" fontId="7" fillId="0" borderId="0" xfId="2" applyFont="1" applyProtection="1">
      <protection hidden="1"/>
    </xf>
    <xf numFmtId="0" fontId="22" fillId="4" borderId="0" xfId="0" applyFont="1" applyFill="1"/>
    <xf numFmtId="0" fontId="16" fillId="0" borderId="0" xfId="0" applyFont="1"/>
    <xf numFmtId="0" fontId="5" fillId="0" borderId="0" xfId="0" applyFont="1"/>
    <xf numFmtId="0" fontId="11" fillId="6" borderId="0" xfId="0" applyFont="1" applyFill="1"/>
    <xf numFmtId="0" fontId="7" fillId="0" borderId="0" xfId="3" applyAlignment="1" applyProtection="1">
      <alignment vertical="top" wrapText="1"/>
      <protection hidden="1"/>
    </xf>
    <xf numFmtId="0" fontId="7" fillId="0" borderId="0" xfId="0" applyFont="1" applyAlignment="1">
      <alignment horizontal="right" vertical="center"/>
    </xf>
    <xf numFmtId="0" fontId="23" fillId="0" borderId="0" xfId="0" applyFont="1"/>
    <xf numFmtId="0" fontId="7" fillId="0" borderId="0" xfId="0" applyFont="1" applyAlignment="1">
      <alignment wrapText="1"/>
    </xf>
    <xf numFmtId="0" fontId="19" fillId="0" borderId="0" xfId="0" applyFont="1"/>
    <xf numFmtId="0" fontId="6" fillId="0" borderId="0" xfId="0" applyFont="1"/>
    <xf numFmtId="0" fontId="22" fillId="8" borderId="0" xfId="0" applyFont="1" applyFill="1"/>
    <xf numFmtId="0" fontId="20" fillId="8" borderId="0" xfId="0" applyFont="1" applyFill="1" applyAlignment="1">
      <alignment wrapText="1"/>
    </xf>
    <xf numFmtId="0" fontId="22" fillId="8" borderId="0" xfId="0" applyFont="1" applyFill="1" applyAlignment="1">
      <alignment vertical="top" wrapText="1"/>
    </xf>
    <xf numFmtId="0" fontId="8" fillId="0" borderId="1" xfId="2" applyFont="1" applyBorder="1" applyProtection="1">
      <protection hidden="1"/>
    </xf>
    <xf numFmtId="0" fontId="27" fillId="0" borderId="1" xfId="4" applyFont="1" applyBorder="1" applyAlignment="1">
      <alignment horizontal="right"/>
    </xf>
    <xf numFmtId="0" fontId="7" fillId="0" borderId="1" xfId="2" applyFont="1" applyBorder="1" applyProtection="1">
      <protection hidden="1"/>
    </xf>
    <xf numFmtId="0" fontId="32" fillId="0" borderId="0" xfId="0" applyFont="1" applyAlignment="1">
      <alignment vertical="center" wrapText="1"/>
    </xf>
    <xf numFmtId="0" fontId="33" fillId="0" borderId="0" xfId="0" applyFont="1" applyAlignment="1">
      <alignment horizontal="center" vertical="center" wrapText="1"/>
    </xf>
    <xf numFmtId="0" fontId="34" fillId="0" borderId="0" xfId="0" applyFont="1" applyAlignment="1">
      <alignment vertical="center" wrapText="1"/>
    </xf>
    <xf numFmtId="0" fontId="34" fillId="0" borderId="0" xfId="0" applyFont="1" applyAlignment="1">
      <alignment horizontal="center" vertical="center" wrapText="1"/>
    </xf>
    <xf numFmtId="0" fontId="0" fillId="0" borderId="0" xfId="0" applyAlignment="1">
      <alignment vertical="center" wrapText="1"/>
    </xf>
    <xf numFmtId="0" fontId="31" fillId="0" borderId="0" xfId="0" applyFont="1" applyAlignment="1">
      <alignment vertical="center" wrapText="1"/>
    </xf>
    <xf numFmtId="0" fontId="31" fillId="0" borderId="0" xfId="0" applyFont="1" applyAlignment="1">
      <alignment horizontal="center" vertical="center" wrapText="1"/>
    </xf>
    <xf numFmtId="0" fontId="30" fillId="7" borderId="0" xfId="0" applyFont="1" applyFill="1"/>
    <xf numFmtId="0" fontId="30" fillId="0" borderId="0" xfId="0" applyFont="1"/>
    <xf numFmtId="164" fontId="7" fillId="0" borderId="0" xfId="0" applyNumberFormat="1" applyFont="1"/>
    <xf numFmtId="0" fontId="7" fillId="9" borderId="0" xfId="0" applyFont="1" applyFill="1" applyAlignment="1">
      <alignment vertical="center"/>
    </xf>
    <xf numFmtId="165" fontId="11" fillId="0" borderId="0" xfId="0" applyNumberFormat="1" applyFont="1"/>
    <xf numFmtId="0" fontId="11" fillId="0" borderId="0" xfId="2" applyFont="1" applyProtection="1">
      <protection hidden="1"/>
    </xf>
    <xf numFmtId="0" fontId="7" fillId="0" borderId="0" xfId="3" applyProtection="1">
      <protection hidden="1"/>
    </xf>
    <xf numFmtId="0" fontId="7" fillId="0" borderId="0" xfId="3" applyAlignment="1" applyProtection="1">
      <alignment vertical="top"/>
      <protection hidden="1"/>
    </xf>
    <xf numFmtId="166" fontId="7" fillId="0" borderId="0" xfId="1" applyNumberFormat="1" applyFont="1" applyAlignment="1">
      <alignment vertical="center"/>
    </xf>
    <xf numFmtId="1" fontId="7" fillId="0" borderId="0" xfId="0" applyNumberFormat="1" applyFont="1" applyAlignment="1">
      <alignment vertical="center"/>
    </xf>
    <xf numFmtId="164" fontId="7" fillId="0" borderId="0" xfId="0" applyNumberFormat="1" applyFont="1" applyAlignment="1">
      <alignment horizontal="right" vertical="center"/>
    </xf>
    <xf numFmtId="164" fontId="7" fillId="0" borderId="0" xfId="0" applyNumberFormat="1" applyFont="1" applyAlignment="1">
      <alignment horizontal="right" vertical="center" wrapText="1"/>
    </xf>
    <xf numFmtId="164" fontId="7" fillId="0" borderId="0" xfId="0" applyNumberFormat="1" applyFont="1" applyAlignment="1">
      <alignment horizontal="right" vertical="center" shrinkToFit="1"/>
    </xf>
    <xf numFmtId="1" fontId="7" fillId="0" borderId="0" xfId="0" applyNumberFormat="1" applyFont="1" applyAlignment="1">
      <alignment horizontal="right" vertical="center" wrapText="1"/>
    </xf>
    <xf numFmtId="2" fontId="7" fillId="0" borderId="0" xfId="0" applyNumberFormat="1" applyFont="1" applyAlignment="1">
      <alignment horizontal="right" vertical="center"/>
    </xf>
    <xf numFmtId="2" fontId="7" fillId="0" borderId="0" xfId="0" applyNumberFormat="1" applyFont="1" applyAlignment="1">
      <alignment horizontal="right" vertical="center" wrapText="1"/>
    </xf>
    <xf numFmtId="2" fontId="7" fillId="0" borderId="0" xfId="0" applyNumberFormat="1" applyFont="1" applyAlignment="1">
      <alignment horizontal="right" vertical="center" shrinkToFit="1"/>
    </xf>
    <xf numFmtId="1" fontId="7" fillId="0" borderId="0" xfId="0" applyNumberFormat="1" applyFont="1" applyAlignment="1">
      <alignment horizontal="right" vertical="center"/>
    </xf>
    <xf numFmtId="1" fontId="7" fillId="0" borderId="0" xfId="0" applyNumberFormat="1" applyFont="1" applyAlignment="1">
      <alignment horizontal="right" vertical="center" shrinkToFit="1"/>
    </xf>
    <xf numFmtId="0" fontId="36" fillId="0" borderId="0" xfId="0" applyFont="1" applyAlignment="1">
      <alignment horizontal="left" vertical="center"/>
    </xf>
    <xf numFmtId="2" fontId="7" fillId="0" borderId="0" xfId="0" applyNumberFormat="1" applyFont="1"/>
    <xf numFmtId="164" fontId="7" fillId="0" borderId="0" xfId="0" applyNumberFormat="1" applyFont="1" applyAlignment="1">
      <alignment horizontal="right"/>
    </xf>
    <xf numFmtId="3" fontId="7" fillId="0" borderId="0" xfId="0" applyNumberFormat="1" applyFont="1" applyAlignment="1">
      <alignment horizontal="right" vertical="center"/>
    </xf>
    <xf numFmtId="0" fontId="11" fillId="0" borderId="0" xfId="0" quotePrefix="1" applyFont="1"/>
    <xf numFmtId="14" fontId="11" fillId="0" borderId="0" xfId="0" applyNumberFormat="1" applyFont="1"/>
    <xf numFmtId="0" fontId="11" fillId="0" borderId="1" xfId="0" applyFont="1" applyBorder="1"/>
    <xf numFmtId="2" fontId="22" fillId="4" borderId="0" xfId="0" applyNumberFormat="1" applyFont="1" applyFill="1"/>
    <xf numFmtId="0" fontId="7" fillId="0" borderId="0" xfId="0" applyFont="1" applyAlignment="1">
      <alignment vertical="top"/>
    </xf>
    <xf numFmtId="0" fontId="10" fillId="4" borderId="0" xfId="0" applyFont="1" applyFill="1" applyAlignment="1">
      <alignment wrapText="1"/>
    </xf>
    <xf numFmtId="0" fontId="7" fillId="0" borderId="0" xfId="3" applyAlignment="1" applyProtection="1">
      <alignment wrapText="1"/>
      <protection hidden="1"/>
    </xf>
    <xf numFmtId="0" fontId="30" fillId="19" borderId="0" xfId="0" applyFont="1" applyFill="1"/>
    <xf numFmtId="0" fontId="30" fillId="20" borderId="0" xfId="0" applyFont="1" applyFill="1"/>
    <xf numFmtId="0" fontId="7" fillId="21" borderId="0" xfId="0" applyFont="1" applyFill="1"/>
    <xf numFmtId="164" fontId="11" fillId="0" borderId="0" xfId="0" applyNumberFormat="1" applyFont="1"/>
    <xf numFmtId="0" fontId="14" fillId="0" borderId="1" xfId="2" applyFont="1" applyBorder="1" applyProtection="1">
      <protection hidden="1"/>
    </xf>
    <xf numFmtId="0" fontId="3" fillId="0" borderId="0" xfId="0" applyFont="1"/>
    <xf numFmtId="2" fontId="11" fillId="0" borderId="0" xfId="2" applyNumberFormat="1" applyFont="1" applyProtection="1">
      <protection hidden="1"/>
    </xf>
    <xf numFmtId="14" fontId="22" fillId="4" borderId="0" xfId="0" applyNumberFormat="1" applyFont="1" applyFill="1"/>
    <xf numFmtId="1" fontId="7" fillId="0" borderId="0" xfId="0" applyNumberFormat="1" applyFont="1"/>
    <xf numFmtId="164" fontId="0" fillId="0" borderId="0" xfId="0" applyNumberFormat="1"/>
    <xf numFmtId="2" fontId="7" fillId="0" borderId="0" xfId="0" applyNumberFormat="1" applyFont="1" applyAlignment="1">
      <alignment vertical="center"/>
    </xf>
    <xf numFmtId="164" fontId="7" fillId="0" borderId="0" xfId="0" applyNumberFormat="1" applyFont="1" applyAlignment="1">
      <alignment vertical="center"/>
    </xf>
    <xf numFmtId="49" fontId="7" fillId="0" borderId="0" xfId="0" applyNumberFormat="1" applyFont="1"/>
    <xf numFmtId="49" fontId="19" fillId="0" borderId="0" xfId="6" applyNumberFormat="1" applyFont="1"/>
    <xf numFmtId="49" fontId="7" fillId="0" borderId="0" xfId="0" applyNumberFormat="1" applyFont="1" applyAlignment="1">
      <alignment vertical="center"/>
    </xf>
    <xf numFmtId="49" fontId="25" fillId="0" borderId="0" xfId="5" applyNumberFormat="1" applyFont="1" applyFill="1" applyBorder="1" applyAlignment="1">
      <alignment vertical="center"/>
    </xf>
    <xf numFmtId="49" fontId="7" fillId="0" borderId="0" xfId="1" applyNumberFormat="1" applyFont="1" applyAlignment="1">
      <alignment vertical="center"/>
    </xf>
    <xf numFmtId="49" fontId="35" fillId="0" borderId="0" xfId="5" applyNumberFormat="1"/>
    <xf numFmtId="2" fontId="11" fillId="0" borderId="0" xfId="0" applyNumberFormat="1" applyFont="1"/>
    <xf numFmtId="0" fontId="11" fillId="0" borderId="188" xfId="0" applyFont="1" applyBorder="1"/>
    <xf numFmtId="0" fontId="23" fillId="0" borderId="0" xfId="0" applyFont="1" applyAlignment="1">
      <alignment vertical="top"/>
    </xf>
    <xf numFmtId="0" fontId="7" fillId="0" borderId="0" xfId="0" applyFont="1" applyAlignment="1">
      <alignment vertical="top" wrapText="1"/>
    </xf>
    <xf numFmtId="0" fontId="55" fillId="0" borderId="0" xfId="0" applyFont="1" applyAlignment="1">
      <alignment vertical="center"/>
    </xf>
    <xf numFmtId="0" fontId="55" fillId="0" borderId="0" xfId="0" applyFont="1" applyAlignment="1">
      <alignment horizontal="left" vertical="center"/>
    </xf>
    <xf numFmtId="0" fontId="55" fillId="0" borderId="0" xfId="0" applyFont="1"/>
    <xf numFmtId="0" fontId="4" fillId="0" borderId="0" xfId="2" applyFont="1" applyAlignment="1">
      <alignment vertical="center"/>
    </xf>
    <xf numFmtId="0" fontId="4" fillId="0" borderId="0" xfId="2" applyFont="1"/>
    <xf numFmtId="0" fontId="4" fillId="0" borderId="0" xfId="0" applyFont="1"/>
    <xf numFmtId="0" fontId="55" fillId="5" borderId="0" xfId="0" applyFont="1" applyFill="1" applyAlignment="1">
      <alignment vertical="center"/>
    </xf>
    <xf numFmtId="0" fontId="55" fillId="5" borderId="0" xfId="0" applyFont="1" applyFill="1" applyAlignment="1">
      <alignment horizontal="left" vertical="top"/>
    </xf>
    <xf numFmtId="0" fontId="55" fillId="5" borderId="2" xfId="0" applyFont="1" applyFill="1" applyBorder="1" applyAlignment="1">
      <alignment horizontal="center" vertical="center"/>
    </xf>
    <xf numFmtId="0" fontId="56" fillId="5" borderId="0" xfId="2" applyFont="1" applyFill="1" applyAlignment="1">
      <alignment horizontal="center" vertical="center"/>
    </xf>
    <xf numFmtId="0" fontId="55" fillId="5" borderId="0" xfId="0" applyFont="1" applyFill="1" applyAlignment="1">
      <alignment horizontal="left"/>
    </xf>
    <xf numFmtId="0" fontId="57" fillId="22" borderId="0" xfId="0" applyFont="1" applyFill="1" applyAlignment="1">
      <alignment vertical="center"/>
    </xf>
    <xf numFmtId="0" fontId="57" fillId="22" borderId="0" xfId="0" applyFont="1" applyFill="1"/>
    <xf numFmtId="0" fontId="57" fillId="22" borderId="0" xfId="0" applyFont="1" applyFill="1" applyAlignment="1">
      <alignment horizontal="center" vertical="center"/>
    </xf>
    <xf numFmtId="187" fontId="58" fillId="22" borderId="0" xfId="0" applyNumberFormat="1" applyFont="1" applyFill="1" applyAlignment="1">
      <alignment horizontal="right"/>
    </xf>
    <xf numFmtId="0" fontId="55" fillId="23" borderId="0" xfId="0" applyFont="1" applyFill="1" applyAlignment="1">
      <alignment horizontal="left" vertical="top" wrapText="1"/>
    </xf>
    <xf numFmtId="0" fontId="55" fillId="24" borderId="2" xfId="2" applyFont="1" applyFill="1" applyBorder="1" applyAlignment="1" applyProtection="1">
      <alignment horizontal="center" vertical="center"/>
      <protection locked="0"/>
    </xf>
    <xf numFmtId="0" fontId="55" fillId="23" borderId="0" xfId="0" applyFont="1" applyFill="1" applyAlignment="1">
      <alignment horizontal="left" vertical="top" wrapText="1"/>
    </xf>
    <xf numFmtId="0" fontId="55" fillId="23" borderId="3" xfId="0" applyFont="1" applyFill="1" applyBorder="1" applyAlignment="1">
      <alignment horizontal="left" vertical="top" wrapText="1"/>
    </xf>
    <xf numFmtId="0" fontId="55" fillId="5" borderId="0" xfId="0" applyFont="1" applyFill="1" applyAlignment="1">
      <alignment horizontal="left" vertical="top"/>
    </xf>
    <xf numFmtId="0" fontId="55" fillId="5" borderId="3" xfId="0" applyFont="1" applyFill="1" applyBorder="1" applyAlignment="1">
      <alignment horizontal="left" vertical="top"/>
    </xf>
    <xf numFmtId="0" fontId="55" fillId="23" borderId="0" xfId="0" applyFont="1" applyFill="1" applyAlignment="1" applyProtection="1">
      <alignment horizontal="left" vertical="center" wrapText="1"/>
      <protection locked="0"/>
    </xf>
    <xf numFmtId="0" fontId="55" fillId="23" borderId="0" xfId="0" applyFont="1" applyFill="1" applyAlignment="1" applyProtection="1">
      <alignment horizontal="left" wrapText="1"/>
      <protection locked="0"/>
    </xf>
    <xf numFmtId="0" fontId="59" fillId="5" borderId="0" xfId="0" applyFont="1" applyFill="1" applyAlignment="1">
      <alignment horizontal="left" vertical="center" wrapText="1"/>
    </xf>
    <xf numFmtId="0" fontId="10" fillId="4" borderId="0" xfId="0" applyFont="1" applyFill="1" applyAlignment="1">
      <alignment wrapText="1"/>
    </xf>
    <xf numFmtId="0" fontId="22" fillId="8" borderId="0" xfId="0" applyFont="1" applyFill="1" applyAlignment="1">
      <alignment horizontal="left"/>
    </xf>
  </cellXfs>
  <cellStyles count="441">
    <cellStyle name="2x indented GHG Textfiels" xfId="43" xr:uid="{00000000-0005-0000-0000-000000000000}"/>
    <cellStyle name="2x indented GHG Textfiels 10" xfId="119" xr:uid="{00000000-0005-0000-0000-000001000000}"/>
    <cellStyle name="2x indented GHG Textfiels 11" xfId="164" xr:uid="{00000000-0005-0000-0000-000002000000}"/>
    <cellStyle name="2x indented GHG Textfiels 12" xfId="120" xr:uid="{00000000-0005-0000-0000-000003000000}"/>
    <cellStyle name="2x indented GHG Textfiels 13" xfId="163" xr:uid="{00000000-0005-0000-0000-000004000000}"/>
    <cellStyle name="2x indented GHG Textfiels 14" xfId="169" xr:uid="{00000000-0005-0000-0000-000005000000}"/>
    <cellStyle name="2x indented GHG Textfiels 15" xfId="162" xr:uid="{00000000-0005-0000-0000-000006000000}"/>
    <cellStyle name="2x indented GHG Textfiels 16" xfId="121" xr:uid="{00000000-0005-0000-0000-000007000000}"/>
    <cellStyle name="2x indented GHG Textfiels 17" xfId="161" xr:uid="{00000000-0005-0000-0000-000008000000}"/>
    <cellStyle name="2x indented GHG Textfiels 18" xfId="122" xr:uid="{00000000-0005-0000-0000-000009000000}"/>
    <cellStyle name="2x indented GHG Textfiels 19" xfId="160" xr:uid="{00000000-0005-0000-0000-00000A000000}"/>
    <cellStyle name="2x indented GHG Textfiels 2" xfId="111" xr:uid="{00000000-0005-0000-0000-00000B000000}"/>
    <cellStyle name="2x indented GHG Textfiels 20" xfId="250" xr:uid="{00000000-0005-0000-0000-00000C000000}"/>
    <cellStyle name="2x indented GHG Textfiels 21" xfId="253" xr:uid="{00000000-0005-0000-0000-00000D000000}"/>
    <cellStyle name="2x indented GHG Textfiels 22" xfId="123" xr:uid="{00000000-0005-0000-0000-00000E000000}"/>
    <cellStyle name="2x indented GHG Textfiels 23" xfId="159" xr:uid="{00000000-0005-0000-0000-00000F000000}"/>
    <cellStyle name="2x indented GHG Textfiels 24" xfId="199" xr:uid="{00000000-0005-0000-0000-000010000000}"/>
    <cellStyle name="2x indented GHG Textfiels 25" xfId="158" xr:uid="{00000000-0005-0000-0000-000011000000}"/>
    <cellStyle name="2x indented GHG Textfiels 26" xfId="209" xr:uid="{00000000-0005-0000-0000-000012000000}"/>
    <cellStyle name="2x indented GHG Textfiels 27" xfId="184" xr:uid="{00000000-0005-0000-0000-000013000000}"/>
    <cellStyle name="2x indented GHG Textfiels 28" xfId="218" xr:uid="{00000000-0005-0000-0000-000014000000}"/>
    <cellStyle name="2x indented GHG Textfiels 29" xfId="204" xr:uid="{00000000-0005-0000-0000-000015000000}"/>
    <cellStyle name="2x indented GHG Textfiels 3" xfId="165" xr:uid="{00000000-0005-0000-0000-000016000000}"/>
    <cellStyle name="2x indented GHG Textfiels 30" xfId="228" xr:uid="{00000000-0005-0000-0000-000017000000}"/>
    <cellStyle name="2x indented GHG Textfiels 31" xfId="214" xr:uid="{00000000-0005-0000-0000-000018000000}"/>
    <cellStyle name="2x indented GHG Textfiels 32" xfId="238" xr:uid="{00000000-0005-0000-0000-000019000000}"/>
    <cellStyle name="2x indented GHG Textfiels 33" xfId="223" xr:uid="{00000000-0005-0000-0000-00001A000000}"/>
    <cellStyle name="2x indented GHG Textfiels 34" xfId="248" xr:uid="{00000000-0005-0000-0000-00001B000000}"/>
    <cellStyle name="2x indented GHG Textfiels 35" xfId="233" xr:uid="{00000000-0005-0000-0000-00001C000000}"/>
    <cellStyle name="2x indented GHG Textfiels 36" xfId="124" xr:uid="{00000000-0005-0000-0000-00001D000000}"/>
    <cellStyle name="2x indented GHG Textfiels 37" xfId="243" xr:uid="{00000000-0005-0000-0000-00001E000000}"/>
    <cellStyle name="2x indented GHG Textfiels 38" xfId="257" xr:uid="{00000000-0005-0000-0000-00001F000000}"/>
    <cellStyle name="2x indented GHG Textfiels 39" xfId="262" xr:uid="{00000000-0005-0000-0000-000020000000}"/>
    <cellStyle name="2x indented GHG Textfiels 4" xfId="114" xr:uid="{00000000-0005-0000-0000-000021000000}"/>
    <cellStyle name="2x indented GHG Textfiels 40" xfId="267" xr:uid="{00000000-0005-0000-0000-000022000000}"/>
    <cellStyle name="2x indented GHG Textfiels 41" xfId="272" xr:uid="{00000000-0005-0000-0000-000023000000}"/>
    <cellStyle name="2x indented GHG Textfiels 42" xfId="277" xr:uid="{00000000-0005-0000-0000-000024000000}"/>
    <cellStyle name="2x indented GHG Textfiels 43" xfId="282" xr:uid="{00000000-0005-0000-0000-000025000000}"/>
    <cellStyle name="2x indented GHG Textfiels 44" xfId="291" xr:uid="{00000000-0005-0000-0000-000026000000}"/>
    <cellStyle name="2x indented GHG Textfiels 45" xfId="403" xr:uid="{00000000-0005-0000-0000-000027000000}"/>
    <cellStyle name="2x indented GHG Textfiels 46" xfId="391" xr:uid="{00000000-0005-0000-0000-000028000000}"/>
    <cellStyle name="2x indented GHG Textfiels 47" xfId="402" xr:uid="{00000000-0005-0000-0000-000029000000}"/>
    <cellStyle name="2x indented GHG Textfiels 48" xfId="390" xr:uid="{00000000-0005-0000-0000-00002A000000}"/>
    <cellStyle name="2x indented GHG Textfiels 49" xfId="401" xr:uid="{00000000-0005-0000-0000-00002B000000}"/>
    <cellStyle name="2x indented GHG Textfiels 5" xfId="175" xr:uid="{00000000-0005-0000-0000-00002C000000}"/>
    <cellStyle name="2x indented GHG Textfiels 50" xfId="400" xr:uid="{00000000-0005-0000-0000-00002D000000}"/>
    <cellStyle name="2x indented GHG Textfiels 51" xfId="383" xr:uid="{00000000-0005-0000-0000-00002E000000}"/>
    <cellStyle name="2x indented GHG Textfiels 52" xfId="343" xr:uid="{00000000-0005-0000-0000-00002F000000}"/>
    <cellStyle name="2x indented GHG Textfiels 53" xfId="395" xr:uid="{00000000-0005-0000-0000-000030000000}"/>
    <cellStyle name="2x indented GHG Textfiels 54" xfId="411" xr:uid="{00000000-0005-0000-0000-000031000000}"/>
    <cellStyle name="2x indented GHG Textfiels 55" xfId="416" xr:uid="{00000000-0005-0000-0000-000032000000}"/>
    <cellStyle name="2x indented GHG Textfiels 56" xfId="420" xr:uid="{00000000-0005-0000-0000-000033000000}"/>
    <cellStyle name="2x indented GHG Textfiels 57" xfId="425" xr:uid="{00000000-0005-0000-0000-000034000000}"/>
    <cellStyle name="2x indented GHG Textfiels 58" xfId="349" xr:uid="{00000000-0005-0000-0000-000035000000}"/>
    <cellStyle name="2x indented GHG Textfiels 59" xfId="350" xr:uid="{00000000-0005-0000-0000-000036000000}"/>
    <cellStyle name="2x indented GHG Textfiels 6" xfId="116" xr:uid="{00000000-0005-0000-0000-000037000000}"/>
    <cellStyle name="2x indented GHG Textfiels 60" xfId="399" xr:uid="{00000000-0005-0000-0000-000038000000}"/>
    <cellStyle name="2x indented GHG Textfiels 7" xfId="174" xr:uid="{00000000-0005-0000-0000-000039000000}"/>
    <cellStyle name="2x indented GHG Textfiels 8" xfId="192" xr:uid="{00000000-0005-0000-0000-00003A000000}"/>
    <cellStyle name="2x indented GHG Textfiels 9" xfId="195" xr:uid="{00000000-0005-0000-0000-00003B000000}"/>
    <cellStyle name="5x indented GHG Textfiels" xfId="44" xr:uid="{00000000-0005-0000-0000-00003C000000}"/>
    <cellStyle name="5x indented GHG Textfiels 10" xfId="202" xr:uid="{00000000-0005-0000-0000-00003D000000}"/>
    <cellStyle name="5x indented GHG Textfiels 11" xfId="207" xr:uid="{00000000-0005-0000-0000-00003E000000}"/>
    <cellStyle name="5x indented GHG Textfiels 12" xfId="212" xr:uid="{00000000-0005-0000-0000-00003F000000}"/>
    <cellStyle name="5x indented GHG Textfiels 13" xfId="216" xr:uid="{00000000-0005-0000-0000-000040000000}"/>
    <cellStyle name="5x indented GHG Textfiels 14" xfId="221" xr:uid="{00000000-0005-0000-0000-000041000000}"/>
    <cellStyle name="5x indented GHG Textfiels 15" xfId="226" xr:uid="{00000000-0005-0000-0000-000042000000}"/>
    <cellStyle name="5x indented GHG Textfiels 16" xfId="231" xr:uid="{00000000-0005-0000-0000-000043000000}"/>
    <cellStyle name="5x indented GHG Textfiels 17" xfId="236" xr:uid="{00000000-0005-0000-0000-000044000000}"/>
    <cellStyle name="5x indented GHG Textfiels 18" xfId="241" xr:uid="{00000000-0005-0000-0000-000045000000}"/>
    <cellStyle name="5x indented GHG Textfiels 19" xfId="246" xr:uid="{00000000-0005-0000-0000-000046000000}"/>
    <cellStyle name="5x indented GHG Textfiels 2" xfId="112" xr:uid="{00000000-0005-0000-0000-000047000000}"/>
    <cellStyle name="5x indented GHG Textfiels 20" xfId="189" xr:uid="{00000000-0005-0000-0000-000048000000}"/>
    <cellStyle name="5x indented GHG Textfiels 21" xfId="255" xr:uid="{00000000-0005-0000-0000-000049000000}"/>
    <cellStyle name="5x indented GHG Textfiels 22" xfId="260" xr:uid="{00000000-0005-0000-0000-00004A000000}"/>
    <cellStyle name="5x indented GHG Textfiels 23" xfId="265" xr:uid="{00000000-0005-0000-0000-00004B000000}"/>
    <cellStyle name="5x indented GHG Textfiels 24" xfId="270" xr:uid="{00000000-0005-0000-0000-00004C000000}"/>
    <cellStyle name="5x indented GHG Textfiels 25" xfId="275" xr:uid="{00000000-0005-0000-0000-00004D000000}"/>
    <cellStyle name="5x indented GHG Textfiels 26" xfId="280" xr:uid="{00000000-0005-0000-0000-00004E000000}"/>
    <cellStyle name="5x indented GHG Textfiels 27" xfId="285" xr:uid="{00000000-0005-0000-0000-00004F000000}"/>
    <cellStyle name="5x indented GHG Textfiels 28" xfId="289" xr:uid="{00000000-0005-0000-0000-000050000000}"/>
    <cellStyle name="5x indented GHG Textfiels 29" xfId="294" xr:uid="{00000000-0005-0000-0000-000051000000}"/>
    <cellStyle name="5x indented GHG Textfiels 3" xfId="167" xr:uid="{00000000-0005-0000-0000-000052000000}"/>
    <cellStyle name="5x indented GHG Textfiels 30" xfId="298" xr:uid="{00000000-0005-0000-0000-000053000000}"/>
    <cellStyle name="5x indented GHG Textfiels 31" xfId="302" xr:uid="{00000000-0005-0000-0000-000054000000}"/>
    <cellStyle name="5x indented GHG Textfiels 32" xfId="306" xr:uid="{00000000-0005-0000-0000-000055000000}"/>
    <cellStyle name="5x indented GHG Textfiels 33" xfId="310" xr:uid="{00000000-0005-0000-0000-000056000000}"/>
    <cellStyle name="5x indented GHG Textfiels 34" xfId="314" xr:uid="{00000000-0005-0000-0000-000057000000}"/>
    <cellStyle name="5x indented GHG Textfiels 35" xfId="318" xr:uid="{00000000-0005-0000-0000-000058000000}"/>
    <cellStyle name="5x indented GHG Textfiels 36" xfId="322" xr:uid="{00000000-0005-0000-0000-000059000000}"/>
    <cellStyle name="5x indented GHG Textfiels 37" xfId="324" xr:uid="{00000000-0005-0000-0000-00005A000000}"/>
    <cellStyle name="5x indented GHG Textfiels 38" xfId="326" xr:uid="{00000000-0005-0000-0000-00005B000000}"/>
    <cellStyle name="5x indented GHG Textfiels 39" xfId="327" xr:uid="{00000000-0005-0000-0000-00005C000000}"/>
    <cellStyle name="5x indented GHG Textfiels 4" xfId="115" xr:uid="{00000000-0005-0000-0000-00005D000000}"/>
    <cellStyle name="5x indented GHG Textfiels 40" xfId="328" xr:uid="{00000000-0005-0000-0000-00005E000000}"/>
    <cellStyle name="5x indented GHG Textfiels 41" xfId="329" xr:uid="{00000000-0005-0000-0000-00005F000000}"/>
    <cellStyle name="5x indented GHG Textfiels 42" xfId="330" xr:uid="{00000000-0005-0000-0000-000060000000}"/>
    <cellStyle name="5x indented GHG Textfiels 43" xfId="331" xr:uid="{00000000-0005-0000-0000-000061000000}"/>
    <cellStyle name="5x indented GHG Textfiels 44" xfId="332" xr:uid="{00000000-0005-0000-0000-000062000000}"/>
    <cellStyle name="5x indented GHG Textfiels 45" xfId="405" xr:uid="{00000000-0005-0000-0000-000063000000}"/>
    <cellStyle name="5x indented GHG Textfiels 46" xfId="393" xr:uid="{00000000-0005-0000-0000-000064000000}"/>
    <cellStyle name="5x indented GHG Textfiels 47" xfId="409" xr:uid="{00000000-0005-0000-0000-000065000000}"/>
    <cellStyle name="5x indented GHG Textfiels 48" xfId="414" xr:uid="{00000000-0005-0000-0000-000066000000}"/>
    <cellStyle name="5x indented GHG Textfiels 49" xfId="419" xr:uid="{00000000-0005-0000-0000-000067000000}"/>
    <cellStyle name="5x indented GHG Textfiels 5" xfId="177" xr:uid="{00000000-0005-0000-0000-000068000000}"/>
    <cellStyle name="5x indented GHG Textfiels 50" xfId="423" xr:uid="{00000000-0005-0000-0000-000069000000}"/>
    <cellStyle name="5x indented GHG Textfiels 51" xfId="389" xr:uid="{00000000-0005-0000-0000-00006A000000}"/>
    <cellStyle name="5x indented GHG Textfiels 52" xfId="431" xr:uid="{00000000-0005-0000-0000-00006B000000}"/>
    <cellStyle name="5x indented GHG Textfiels 53" xfId="346" xr:uid="{00000000-0005-0000-0000-00006C000000}"/>
    <cellStyle name="5x indented GHG Textfiels 54" xfId="433" xr:uid="{00000000-0005-0000-0000-00006D000000}"/>
    <cellStyle name="5x indented GHG Textfiels 55" xfId="435" xr:uid="{00000000-0005-0000-0000-00006E000000}"/>
    <cellStyle name="5x indented GHG Textfiels 56" xfId="436" xr:uid="{00000000-0005-0000-0000-00006F000000}"/>
    <cellStyle name="5x indented GHG Textfiels 57" xfId="438" xr:uid="{00000000-0005-0000-0000-000070000000}"/>
    <cellStyle name="5x indented GHG Textfiels 58" xfId="348" xr:uid="{00000000-0005-0000-0000-000071000000}"/>
    <cellStyle name="5x indented GHG Textfiels 59" xfId="440" xr:uid="{00000000-0005-0000-0000-000072000000}"/>
    <cellStyle name="5x indented GHG Textfiels 6" xfId="182" xr:uid="{00000000-0005-0000-0000-000073000000}"/>
    <cellStyle name="5x indented GHG Textfiels 60" xfId="382" xr:uid="{00000000-0005-0000-0000-000074000000}"/>
    <cellStyle name="5x indented GHG Textfiels 7" xfId="187" xr:uid="{00000000-0005-0000-0000-000075000000}"/>
    <cellStyle name="5x indented GHG Textfiels 8" xfId="118" xr:uid="{00000000-0005-0000-0000-000076000000}"/>
    <cellStyle name="5x indented GHG Textfiels 9" xfId="197" xr:uid="{00000000-0005-0000-0000-000077000000}"/>
    <cellStyle name="Boden" xfId="45" xr:uid="{00000000-0005-0000-0000-000078000000}"/>
    <cellStyle name="Body text" xfId="46" xr:uid="{00000000-0005-0000-0000-000079000000}"/>
    <cellStyle name="Bold GHG Numbers (0.00)" xfId="47" xr:uid="{00000000-0005-0000-0000-00007A000000}"/>
    <cellStyle name="Comma [0]_CAS Ciba" xfId="48" xr:uid="{00000000-0005-0000-0000-00007B000000}"/>
    <cellStyle name="Comma_CAS Ciba" xfId="49" xr:uid="{00000000-0005-0000-0000-00007C000000}"/>
    <cellStyle name="comment" xfId="50" xr:uid="{00000000-0005-0000-0000-00007D000000}"/>
    <cellStyle name="Currency [0]_CAS Ciba" xfId="51" xr:uid="{00000000-0005-0000-0000-00007E000000}"/>
    <cellStyle name="Currency_CAS Ciba" xfId="52" xr:uid="{00000000-0005-0000-0000-00007F000000}"/>
    <cellStyle name="Dezimal 2" xfId="107" xr:uid="{00000000-0005-0000-0000-000080000000}"/>
    <cellStyle name="dt" xfId="53" xr:uid="{00000000-0005-0000-0000-000081000000}"/>
    <cellStyle name="EcoTitel" xfId="54" xr:uid="{00000000-0005-0000-0000-000082000000}"/>
    <cellStyle name="EcoZahl" xfId="55" xr:uid="{00000000-0005-0000-0000-000083000000}"/>
    <cellStyle name="Eingabe 2" xfId="56" xr:uid="{00000000-0005-0000-0000-000084000000}"/>
    <cellStyle name="Euro" xfId="57" xr:uid="{00000000-0005-0000-0000-000085000000}"/>
    <cellStyle name="header" xfId="58" xr:uid="{00000000-0005-0000-0000-000086000000}"/>
    <cellStyle name="Header Total" xfId="59" xr:uid="{00000000-0005-0000-0000-000087000000}"/>
    <cellStyle name="Header Total 10" xfId="168" xr:uid="{00000000-0005-0000-0000-000088000000}"/>
    <cellStyle name="Header Total 11" xfId="193" xr:uid="{00000000-0005-0000-0000-000089000000}"/>
    <cellStyle name="Header Total 12" xfId="10" xr:uid="{00000000-0005-0000-0000-00008A000000}"/>
    <cellStyle name="Header Total 13" xfId="11" xr:uid="{00000000-0005-0000-0000-00008B000000}"/>
    <cellStyle name="Header Total 14" xfId="12" xr:uid="{00000000-0005-0000-0000-00008C000000}"/>
    <cellStyle name="Header Total 15" xfId="13" xr:uid="{00000000-0005-0000-0000-00008D000000}"/>
    <cellStyle name="Header Total 16" xfId="14" xr:uid="{00000000-0005-0000-0000-00008E000000}"/>
    <cellStyle name="Header Total 17" xfId="15" xr:uid="{00000000-0005-0000-0000-00008F000000}"/>
    <cellStyle name="Header Total 18" xfId="16" xr:uid="{00000000-0005-0000-0000-000090000000}"/>
    <cellStyle name="Header Total 19" xfId="17" xr:uid="{00000000-0005-0000-0000-000091000000}"/>
    <cellStyle name="Header Total 2" xfId="125" xr:uid="{00000000-0005-0000-0000-000092000000}"/>
    <cellStyle name="Header Total 20" xfId="18" xr:uid="{00000000-0005-0000-0000-000093000000}"/>
    <cellStyle name="Header Total 21" xfId="157" xr:uid="{00000000-0005-0000-0000-000094000000}"/>
    <cellStyle name="Header Total 22" xfId="190" xr:uid="{00000000-0005-0000-0000-000095000000}"/>
    <cellStyle name="Header Total 23" xfId="251" xr:uid="{00000000-0005-0000-0000-000096000000}"/>
    <cellStyle name="Header Total 24" xfId="19" xr:uid="{00000000-0005-0000-0000-000097000000}"/>
    <cellStyle name="Header Total 25" xfId="20" xr:uid="{00000000-0005-0000-0000-000098000000}"/>
    <cellStyle name="Header Total 26" xfId="21" xr:uid="{00000000-0005-0000-0000-000099000000}"/>
    <cellStyle name="Header Total 27" xfId="22" xr:uid="{00000000-0005-0000-0000-00009A000000}"/>
    <cellStyle name="Header Total 28" xfId="23" xr:uid="{00000000-0005-0000-0000-00009B000000}"/>
    <cellStyle name="Header Total 29" xfId="24" xr:uid="{00000000-0005-0000-0000-00009C000000}"/>
    <cellStyle name="Header Total 3" xfId="153" xr:uid="{00000000-0005-0000-0000-00009D000000}"/>
    <cellStyle name="Header Total 30" xfId="25" xr:uid="{00000000-0005-0000-0000-00009E000000}"/>
    <cellStyle name="Header Total 31" xfId="26" xr:uid="{00000000-0005-0000-0000-00009F000000}"/>
    <cellStyle name="Header Total 32" xfId="27" xr:uid="{00000000-0005-0000-0000-0000A0000000}"/>
    <cellStyle name="Header Total 33" xfId="28" xr:uid="{00000000-0005-0000-0000-0000A1000000}"/>
    <cellStyle name="Header Total 34" xfId="29" xr:uid="{00000000-0005-0000-0000-0000A2000000}"/>
    <cellStyle name="Header Total 35" xfId="30" xr:uid="{00000000-0005-0000-0000-0000A3000000}"/>
    <cellStyle name="Header Total 36" xfId="31" xr:uid="{00000000-0005-0000-0000-0000A4000000}"/>
    <cellStyle name="Header Total 37" xfId="32" xr:uid="{00000000-0005-0000-0000-0000A5000000}"/>
    <cellStyle name="Header Total 38" xfId="33" xr:uid="{00000000-0005-0000-0000-0000A6000000}"/>
    <cellStyle name="Header Total 39" xfId="34" xr:uid="{00000000-0005-0000-0000-0000A7000000}"/>
    <cellStyle name="Header Total 4" xfId="126" xr:uid="{00000000-0005-0000-0000-0000A8000000}"/>
    <cellStyle name="Header Total 40" xfId="35" xr:uid="{00000000-0005-0000-0000-0000A9000000}"/>
    <cellStyle name="Header Total 41" xfId="36" xr:uid="{00000000-0005-0000-0000-0000AA000000}"/>
    <cellStyle name="Header Total 42" xfId="37" xr:uid="{00000000-0005-0000-0000-0000AB000000}"/>
    <cellStyle name="Header Total 43" xfId="38" xr:uid="{00000000-0005-0000-0000-0000AC000000}"/>
    <cellStyle name="Header Total 44" xfId="39" xr:uid="{00000000-0005-0000-0000-0000AD000000}"/>
    <cellStyle name="Header Total 45" xfId="351" xr:uid="{00000000-0005-0000-0000-0000AE000000}"/>
    <cellStyle name="Header Total 46" xfId="396" xr:uid="{00000000-0005-0000-0000-0000AF000000}"/>
    <cellStyle name="Header Total 47" xfId="333" xr:uid="{00000000-0005-0000-0000-0000B0000000}"/>
    <cellStyle name="Header Total 48" xfId="334" xr:uid="{00000000-0005-0000-0000-0000B1000000}"/>
    <cellStyle name="Header Total 49" xfId="335" xr:uid="{00000000-0005-0000-0000-0000B2000000}"/>
    <cellStyle name="Header Total 5" xfId="155" xr:uid="{00000000-0005-0000-0000-0000B3000000}"/>
    <cellStyle name="Header Total 50" xfId="336" xr:uid="{00000000-0005-0000-0000-0000B4000000}"/>
    <cellStyle name="Header Total 51" xfId="421" xr:uid="{00000000-0005-0000-0000-0000B5000000}"/>
    <cellStyle name="Header Total 52" xfId="337" xr:uid="{00000000-0005-0000-0000-0000B6000000}"/>
    <cellStyle name="Header Total 53" xfId="427" xr:uid="{00000000-0005-0000-0000-0000B7000000}"/>
    <cellStyle name="Header Total 54" xfId="338" xr:uid="{00000000-0005-0000-0000-0000B8000000}"/>
    <cellStyle name="Header Total 55" xfId="339" xr:uid="{00000000-0005-0000-0000-0000B9000000}"/>
    <cellStyle name="Header Total 56" xfId="340" xr:uid="{00000000-0005-0000-0000-0000BA000000}"/>
    <cellStyle name="Header Total 57" xfId="341" xr:uid="{00000000-0005-0000-0000-0000BB000000}"/>
    <cellStyle name="Header Total 58" xfId="437" xr:uid="{00000000-0005-0000-0000-0000BC000000}"/>
    <cellStyle name="Header Total 59" xfId="342" xr:uid="{00000000-0005-0000-0000-0000BD000000}"/>
    <cellStyle name="Header Total 6" xfId="171" xr:uid="{00000000-0005-0000-0000-0000BE000000}"/>
    <cellStyle name="Header Total 60" xfId="439" xr:uid="{00000000-0005-0000-0000-0000BF000000}"/>
    <cellStyle name="Header Total 7" xfId="172" xr:uid="{00000000-0005-0000-0000-0000C0000000}"/>
    <cellStyle name="Header Total 8" xfId="9" xr:uid="{00000000-0005-0000-0000-0000C1000000}"/>
    <cellStyle name="Header Total 9" xfId="156" xr:uid="{00000000-0005-0000-0000-0000C2000000}"/>
    <cellStyle name="Headline" xfId="60" xr:uid="{00000000-0005-0000-0000-0000C3000000}"/>
    <cellStyle name="kg" xfId="61" xr:uid="{00000000-0005-0000-0000-0000C5000000}"/>
    <cellStyle name="Komma 2" xfId="62" xr:uid="{00000000-0005-0000-0000-0000C6000000}"/>
    <cellStyle name="Komma 3" xfId="42" xr:uid="{00000000-0005-0000-0000-0000C7000000}"/>
    <cellStyle name="Komma 3 2" xfId="63" xr:uid="{00000000-0005-0000-0000-0000C8000000}"/>
    <cellStyle name="Komma 3 2 2" xfId="362" xr:uid="{00000000-0005-0000-0000-0000C9000000}"/>
    <cellStyle name="Komma 3 3" xfId="64" xr:uid="{00000000-0005-0000-0000-0000CA000000}"/>
    <cellStyle name="Komma 3 3 2" xfId="363" xr:uid="{00000000-0005-0000-0000-0000CB000000}"/>
    <cellStyle name="Komma 3 4" xfId="65" xr:uid="{00000000-0005-0000-0000-0000CC000000}"/>
    <cellStyle name="Komma 3 4 2" xfId="364" xr:uid="{00000000-0005-0000-0000-0000CD000000}"/>
    <cellStyle name="Komma 3 5" xfId="66" xr:uid="{00000000-0005-0000-0000-0000CE000000}"/>
    <cellStyle name="Komma 3 5 2" xfId="365" xr:uid="{00000000-0005-0000-0000-0000CF000000}"/>
    <cellStyle name="Komma 3 6" xfId="344" xr:uid="{00000000-0005-0000-0000-0000D0000000}"/>
    <cellStyle name="Komma 4" xfId="67" xr:uid="{00000000-0005-0000-0000-0000D1000000}"/>
    <cellStyle name="Komma 4 2" xfId="366" xr:uid="{00000000-0005-0000-0000-0000D2000000}"/>
    <cellStyle name="l" xfId="68" xr:uid="{00000000-0005-0000-0000-0000D3000000}"/>
    <cellStyle name="Link" xfId="5" builtinId="8"/>
    <cellStyle name="Luft" xfId="69" xr:uid="{00000000-0005-0000-0000-0000D4000000}"/>
    <cellStyle name="m2" xfId="70" xr:uid="{00000000-0005-0000-0000-0000D5000000}"/>
    <cellStyle name="m2a" xfId="71" xr:uid="{00000000-0005-0000-0000-0000D6000000}"/>
    <cellStyle name="m3" xfId="72" xr:uid="{00000000-0005-0000-0000-0000D7000000}"/>
    <cellStyle name="Niels" xfId="73" xr:uid="{00000000-0005-0000-0000-0000D8000000}"/>
    <cellStyle name="NielsProz" xfId="74" xr:uid="{00000000-0005-0000-0000-0000D9000000}"/>
    <cellStyle name="NielsProzent" xfId="75" xr:uid="{00000000-0005-0000-0000-0000DA000000}"/>
    <cellStyle name="Normal GHG Numbers (0.00)" xfId="76" xr:uid="{00000000-0005-0000-0000-0000DB000000}"/>
    <cellStyle name="Normal GHG Numbers (0.00) 10" xfId="7" xr:uid="{00000000-0005-0000-0000-0000DC000000}"/>
    <cellStyle name="Normal GHG Numbers (0.00) 11" xfId="110" xr:uid="{00000000-0005-0000-0000-0000DD000000}"/>
    <cellStyle name="Normal GHG Numbers (0.00) 12" xfId="170" xr:uid="{00000000-0005-0000-0000-0000DE000000}"/>
    <cellStyle name="Normal GHG Numbers (0.00) 13" xfId="178" xr:uid="{00000000-0005-0000-0000-0000DF000000}"/>
    <cellStyle name="Normal GHG Numbers (0.00) 14" xfId="185" xr:uid="{00000000-0005-0000-0000-0000E0000000}"/>
    <cellStyle name="Normal GHG Numbers (0.00) 15" xfId="117" xr:uid="{00000000-0005-0000-0000-0000E1000000}"/>
    <cellStyle name="Normal GHG Numbers (0.00) 16" xfId="196" xr:uid="{00000000-0005-0000-0000-0000E2000000}"/>
    <cellStyle name="Normal GHG Numbers (0.00) 17" xfId="201" xr:uid="{00000000-0005-0000-0000-0000E3000000}"/>
    <cellStyle name="Normal GHG Numbers (0.00) 18" xfId="206" xr:uid="{00000000-0005-0000-0000-0000E4000000}"/>
    <cellStyle name="Normal GHG Numbers (0.00) 19" xfId="211" xr:uid="{00000000-0005-0000-0000-0000E5000000}"/>
    <cellStyle name="Normal GHG Numbers (0.00) 2" xfId="141" xr:uid="{00000000-0005-0000-0000-0000E6000000}"/>
    <cellStyle name="Normal GHG Numbers (0.00) 20" xfId="215" xr:uid="{00000000-0005-0000-0000-0000E7000000}"/>
    <cellStyle name="Normal GHG Numbers (0.00) 21" xfId="140" xr:uid="{00000000-0005-0000-0000-0000E8000000}"/>
    <cellStyle name="Normal GHG Numbers (0.00) 22" xfId="224" xr:uid="{00000000-0005-0000-0000-0000E9000000}"/>
    <cellStyle name="Normal GHG Numbers (0.00) 23" xfId="227" xr:uid="{00000000-0005-0000-0000-0000EA000000}"/>
    <cellStyle name="Normal GHG Numbers (0.00) 24" xfId="234" xr:uid="{00000000-0005-0000-0000-0000EB000000}"/>
    <cellStyle name="Normal GHG Numbers (0.00) 25" xfId="237" xr:uid="{00000000-0005-0000-0000-0000EC000000}"/>
    <cellStyle name="Normal GHG Numbers (0.00) 26" xfId="244" xr:uid="{00000000-0005-0000-0000-0000ED000000}"/>
    <cellStyle name="Normal GHG Numbers (0.00) 27" xfId="179" xr:uid="{00000000-0005-0000-0000-0000EE000000}"/>
    <cellStyle name="Normal GHG Numbers (0.00) 28" xfId="254" xr:uid="{00000000-0005-0000-0000-0000EF000000}"/>
    <cellStyle name="Normal GHG Numbers (0.00) 29" xfId="259" xr:uid="{00000000-0005-0000-0000-0000F0000000}"/>
    <cellStyle name="Normal GHG Numbers (0.00) 3" xfId="136" xr:uid="{00000000-0005-0000-0000-0000F1000000}"/>
    <cellStyle name="Normal GHG Numbers (0.00) 30" xfId="264" xr:uid="{00000000-0005-0000-0000-0000F2000000}"/>
    <cellStyle name="Normal GHG Numbers (0.00) 31" xfId="269" xr:uid="{00000000-0005-0000-0000-0000F3000000}"/>
    <cellStyle name="Normal GHG Numbers (0.00) 32" xfId="274" xr:uid="{00000000-0005-0000-0000-0000F4000000}"/>
    <cellStyle name="Normal GHG Numbers (0.00) 33" xfId="279" xr:uid="{00000000-0005-0000-0000-0000F5000000}"/>
    <cellStyle name="Normal GHG Numbers (0.00) 34" xfId="284" xr:uid="{00000000-0005-0000-0000-0000F6000000}"/>
    <cellStyle name="Normal GHG Numbers (0.00) 35" xfId="288" xr:uid="{00000000-0005-0000-0000-0000F7000000}"/>
    <cellStyle name="Normal GHG Numbers (0.00) 36" xfId="293" xr:uid="{00000000-0005-0000-0000-0000F8000000}"/>
    <cellStyle name="Normal GHG Numbers (0.00) 37" xfId="297" xr:uid="{00000000-0005-0000-0000-0000F9000000}"/>
    <cellStyle name="Normal GHG Numbers (0.00) 38" xfId="301" xr:uid="{00000000-0005-0000-0000-0000FA000000}"/>
    <cellStyle name="Normal GHG Numbers (0.00) 39" xfId="305" xr:uid="{00000000-0005-0000-0000-0000FB000000}"/>
    <cellStyle name="Normal GHG Numbers (0.00) 4" xfId="146" xr:uid="{00000000-0005-0000-0000-0000FC000000}"/>
    <cellStyle name="Normal GHG Numbers (0.00) 40" xfId="309" xr:uid="{00000000-0005-0000-0000-0000FD000000}"/>
    <cellStyle name="Normal GHG Numbers (0.00) 41" xfId="313" xr:uid="{00000000-0005-0000-0000-0000FE000000}"/>
    <cellStyle name="Normal GHG Numbers (0.00) 42" xfId="317" xr:uid="{00000000-0005-0000-0000-0000FF000000}"/>
    <cellStyle name="Normal GHG Numbers (0.00) 43" xfId="321" xr:uid="{00000000-0005-0000-0000-000000010000}"/>
    <cellStyle name="Normal GHG Numbers (0.00) 44" xfId="109" xr:uid="{00000000-0005-0000-0000-000001010000}"/>
    <cellStyle name="Normal GHG Numbers (0.00) 45" xfId="369" xr:uid="{00000000-0005-0000-0000-000002010000}"/>
    <cellStyle name="Normal GHG Numbers (0.00) 46" xfId="359" xr:uid="{00000000-0005-0000-0000-000003010000}"/>
    <cellStyle name="Normal GHG Numbers (0.00) 47" xfId="372" xr:uid="{00000000-0005-0000-0000-000004010000}"/>
    <cellStyle name="Normal GHG Numbers (0.00) 48" xfId="356" xr:uid="{00000000-0005-0000-0000-000005010000}"/>
    <cellStyle name="Normal GHG Numbers (0.00) 49" xfId="375" xr:uid="{00000000-0005-0000-0000-000006010000}"/>
    <cellStyle name="Normal GHG Numbers (0.00) 5" xfId="138" xr:uid="{00000000-0005-0000-0000-000007010000}"/>
    <cellStyle name="Normal GHG Numbers (0.00) 50" xfId="361" xr:uid="{00000000-0005-0000-0000-000008010000}"/>
    <cellStyle name="Normal GHG Numbers (0.00) 51" xfId="404" xr:uid="{00000000-0005-0000-0000-000009010000}"/>
    <cellStyle name="Normal GHG Numbers (0.00) 52" xfId="353" xr:uid="{00000000-0005-0000-0000-00000A010000}"/>
    <cellStyle name="Normal GHG Numbers (0.00) 53" xfId="392" xr:uid="{00000000-0005-0000-0000-00000B010000}"/>
    <cellStyle name="Normal GHG Numbers (0.00) 54" xfId="408" xr:uid="{00000000-0005-0000-0000-00000C010000}"/>
    <cellStyle name="Normal GHG Numbers (0.00) 55" xfId="413" xr:uid="{00000000-0005-0000-0000-00000D010000}"/>
    <cellStyle name="Normal GHG Numbers (0.00) 56" xfId="418" xr:uid="{00000000-0005-0000-0000-00000E010000}"/>
    <cellStyle name="Normal GHG Numbers (0.00) 57" xfId="379" xr:uid="{00000000-0005-0000-0000-00000F010000}"/>
    <cellStyle name="Normal GHG Numbers (0.00) 58" xfId="430" xr:uid="{00000000-0005-0000-0000-000010010000}"/>
    <cellStyle name="Normal GHG Numbers (0.00) 59" xfId="384" xr:uid="{00000000-0005-0000-0000-000011010000}"/>
    <cellStyle name="Normal GHG Numbers (0.00) 6" xfId="149" xr:uid="{00000000-0005-0000-0000-000012010000}"/>
    <cellStyle name="Normal GHG Numbers (0.00) 60" xfId="347" xr:uid="{00000000-0005-0000-0000-000013010000}"/>
    <cellStyle name="Normal GHG Numbers (0.00) 7" xfId="132" xr:uid="{00000000-0005-0000-0000-000014010000}"/>
    <cellStyle name="Normal GHG Numbers (0.00) 8" xfId="166" xr:uid="{00000000-0005-0000-0000-000015010000}"/>
    <cellStyle name="Normal GHG Numbers (0.00) 9" xfId="139" xr:uid="{00000000-0005-0000-0000-000016010000}"/>
    <cellStyle name="Normal GHG Textfiels Bold" xfId="77" xr:uid="{00000000-0005-0000-0000-000017010000}"/>
    <cellStyle name="Normal GHG Textfiels Bold 10" xfId="113" xr:uid="{00000000-0005-0000-0000-000018010000}"/>
    <cellStyle name="Normal GHG Textfiels Bold 11" xfId="173" xr:uid="{00000000-0005-0000-0000-000019010000}"/>
    <cellStyle name="Normal GHG Textfiels Bold 12" xfId="183" xr:uid="{00000000-0005-0000-0000-00001A010000}"/>
    <cellStyle name="Normal GHG Textfiels Bold 13" xfId="181" xr:uid="{00000000-0005-0000-0000-00001B010000}"/>
    <cellStyle name="Normal GHG Textfiels Bold 14" xfId="154" xr:uid="{00000000-0005-0000-0000-00001C010000}"/>
    <cellStyle name="Normal GHG Textfiels Bold 15" xfId="188" xr:uid="{00000000-0005-0000-0000-00001D010000}"/>
    <cellStyle name="Normal GHG Textfiels Bold 16" xfId="194" xr:uid="{00000000-0005-0000-0000-00001E010000}"/>
    <cellStyle name="Normal GHG Textfiels Bold 17" xfId="200" xr:uid="{00000000-0005-0000-0000-00001F010000}"/>
    <cellStyle name="Normal GHG Textfiels Bold 18" xfId="205" xr:uid="{00000000-0005-0000-0000-000020010000}"/>
    <cellStyle name="Normal GHG Textfiels Bold 19" xfId="210" xr:uid="{00000000-0005-0000-0000-000021010000}"/>
    <cellStyle name="Normal GHG Textfiels Bold 2" xfId="142" xr:uid="{00000000-0005-0000-0000-000022010000}"/>
    <cellStyle name="Normal GHG Textfiels Bold 20" xfId="222" xr:uid="{00000000-0005-0000-0000-000023010000}"/>
    <cellStyle name="Normal GHG Textfiels Bold 21" xfId="220" xr:uid="{00000000-0005-0000-0000-000024010000}"/>
    <cellStyle name="Normal GHG Textfiels Bold 22" xfId="232" xr:uid="{00000000-0005-0000-0000-000025010000}"/>
    <cellStyle name="Normal GHG Textfiels Bold 23" xfId="230" xr:uid="{00000000-0005-0000-0000-000026010000}"/>
    <cellStyle name="Normal GHG Textfiels Bold 24" xfId="242" xr:uid="{00000000-0005-0000-0000-000027010000}"/>
    <cellStyle name="Normal GHG Textfiels Bold 25" xfId="240" xr:uid="{00000000-0005-0000-0000-000028010000}"/>
    <cellStyle name="Normal GHG Textfiels Bold 26" xfId="8" xr:uid="{00000000-0005-0000-0000-000029010000}"/>
    <cellStyle name="Normal GHG Textfiels Bold 27" xfId="247" xr:uid="{00000000-0005-0000-0000-00002A010000}"/>
    <cellStyle name="Normal GHG Textfiels Bold 28" xfId="252" xr:uid="{00000000-0005-0000-0000-00002B010000}"/>
    <cellStyle name="Normal GHG Textfiels Bold 29" xfId="258" xr:uid="{00000000-0005-0000-0000-00002C010000}"/>
    <cellStyle name="Normal GHG Textfiels Bold 3" xfId="135" xr:uid="{00000000-0005-0000-0000-00002D010000}"/>
    <cellStyle name="Normal GHG Textfiels Bold 30" xfId="263" xr:uid="{00000000-0005-0000-0000-00002E010000}"/>
    <cellStyle name="Normal GHG Textfiels Bold 31" xfId="268" xr:uid="{00000000-0005-0000-0000-00002F010000}"/>
    <cellStyle name="Normal GHG Textfiels Bold 32" xfId="273" xr:uid="{00000000-0005-0000-0000-000030010000}"/>
    <cellStyle name="Normal GHG Textfiels Bold 33" xfId="278" xr:uid="{00000000-0005-0000-0000-000031010000}"/>
    <cellStyle name="Normal GHG Textfiels Bold 34" xfId="283" xr:uid="{00000000-0005-0000-0000-000032010000}"/>
    <cellStyle name="Normal GHG Textfiels Bold 35" xfId="287" xr:uid="{00000000-0005-0000-0000-000033010000}"/>
    <cellStyle name="Normal GHG Textfiels Bold 36" xfId="292" xr:uid="{00000000-0005-0000-0000-000034010000}"/>
    <cellStyle name="Normal GHG Textfiels Bold 37" xfId="296" xr:uid="{00000000-0005-0000-0000-000035010000}"/>
    <cellStyle name="Normal GHG Textfiels Bold 38" xfId="300" xr:uid="{00000000-0005-0000-0000-000036010000}"/>
    <cellStyle name="Normal GHG Textfiels Bold 39" xfId="304" xr:uid="{00000000-0005-0000-0000-000037010000}"/>
    <cellStyle name="Normal GHG Textfiels Bold 4" xfId="147" xr:uid="{00000000-0005-0000-0000-000038010000}"/>
    <cellStyle name="Normal GHG Textfiels Bold 40" xfId="308" xr:uid="{00000000-0005-0000-0000-000039010000}"/>
    <cellStyle name="Normal GHG Textfiels Bold 41" xfId="312" xr:uid="{00000000-0005-0000-0000-00003A010000}"/>
    <cellStyle name="Normal GHG Textfiels Bold 42" xfId="316" xr:uid="{00000000-0005-0000-0000-00003B010000}"/>
    <cellStyle name="Normal GHG Textfiels Bold 43" xfId="320" xr:uid="{00000000-0005-0000-0000-00003C010000}"/>
    <cellStyle name="Normal GHG Textfiels Bold 44" xfId="145" xr:uid="{00000000-0005-0000-0000-00003D010000}"/>
    <cellStyle name="Normal GHG Textfiels Bold 45" xfId="370" xr:uid="{00000000-0005-0000-0000-00003E010000}"/>
    <cellStyle name="Normal GHG Textfiels Bold 46" xfId="358" xr:uid="{00000000-0005-0000-0000-00003F010000}"/>
    <cellStyle name="Normal GHG Textfiels Bold 47" xfId="373" xr:uid="{00000000-0005-0000-0000-000040010000}"/>
    <cellStyle name="Normal GHG Textfiels Bold 48" xfId="355" xr:uid="{00000000-0005-0000-0000-000041010000}"/>
    <cellStyle name="Normal GHG Textfiels Bold 49" xfId="376" xr:uid="{00000000-0005-0000-0000-000042010000}"/>
    <cellStyle name="Normal GHG Textfiels Bold 5" xfId="137" xr:uid="{00000000-0005-0000-0000-000043010000}"/>
    <cellStyle name="Normal GHG Textfiels Bold 50" xfId="367" xr:uid="{00000000-0005-0000-0000-000044010000}"/>
    <cellStyle name="Normal GHG Textfiels Bold 51" xfId="398" xr:uid="{00000000-0005-0000-0000-000045010000}"/>
    <cellStyle name="Normal GHG Textfiels Bold 52" xfId="352" xr:uid="{00000000-0005-0000-0000-000046010000}"/>
    <cellStyle name="Normal GHG Textfiels Bold 53" xfId="407" xr:uid="{00000000-0005-0000-0000-000047010000}"/>
    <cellStyle name="Normal GHG Textfiels Bold 54" xfId="406" xr:uid="{00000000-0005-0000-0000-000048010000}"/>
    <cellStyle name="Normal GHG Textfiels Bold 55" xfId="412" xr:uid="{00000000-0005-0000-0000-000049010000}"/>
    <cellStyle name="Normal GHG Textfiels Bold 56" xfId="417" xr:uid="{00000000-0005-0000-0000-00004A010000}"/>
    <cellStyle name="Normal GHG Textfiels Bold 57" xfId="378" xr:uid="{00000000-0005-0000-0000-00004B010000}"/>
    <cellStyle name="Normal GHG Textfiels Bold 58" xfId="429" xr:uid="{00000000-0005-0000-0000-00004C010000}"/>
    <cellStyle name="Normal GHG Textfiels Bold 59" xfId="426" xr:uid="{00000000-0005-0000-0000-00004D010000}"/>
    <cellStyle name="Normal GHG Textfiels Bold 6" xfId="150" xr:uid="{00000000-0005-0000-0000-00004E010000}"/>
    <cellStyle name="Normal GHG Textfiels Bold 60" xfId="432" xr:uid="{00000000-0005-0000-0000-00004F010000}"/>
    <cellStyle name="Normal GHG Textfiels Bold 7" xfId="131" xr:uid="{00000000-0005-0000-0000-000050010000}"/>
    <cellStyle name="Normal GHG Textfiels Bold 8" xfId="108" xr:uid="{00000000-0005-0000-0000-000051010000}"/>
    <cellStyle name="Normal GHG Textfiels Bold 9" xfId="129" xr:uid="{00000000-0005-0000-0000-000052010000}"/>
    <cellStyle name="Normal GHG whole table" xfId="78" xr:uid="{00000000-0005-0000-0000-000053010000}"/>
    <cellStyle name="Normal GHG whole table 10" xfId="176" xr:uid="{00000000-0005-0000-0000-000054010000}"/>
    <cellStyle name="Normal GHG whole table 11" xfId="127" xr:uid="{00000000-0005-0000-0000-000055010000}"/>
    <cellStyle name="Normal GHG whole table 12" xfId="186" xr:uid="{00000000-0005-0000-0000-000056010000}"/>
    <cellStyle name="Normal GHG whole table 13" xfId="180" xr:uid="{00000000-0005-0000-0000-000057010000}"/>
    <cellStyle name="Normal GHG whole table 14" xfId="191" xr:uid="{00000000-0005-0000-0000-000058010000}"/>
    <cellStyle name="Normal GHG whole table 15" xfId="198" xr:uid="{00000000-0005-0000-0000-000059010000}"/>
    <cellStyle name="Normal GHG whole table 16" xfId="203" xr:uid="{00000000-0005-0000-0000-00005A010000}"/>
    <cellStyle name="Normal GHG whole table 17" xfId="208" xr:uid="{00000000-0005-0000-0000-00005B010000}"/>
    <cellStyle name="Normal GHG whole table 18" xfId="213" xr:uid="{00000000-0005-0000-0000-00005C010000}"/>
    <cellStyle name="Normal GHG whole table 19" xfId="217" xr:uid="{00000000-0005-0000-0000-00005D010000}"/>
    <cellStyle name="Normal GHG whole table 2" xfId="143" xr:uid="{00000000-0005-0000-0000-00005E010000}"/>
    <cellStyle name="Normal GHG whole table 20" xfId="225" xr:uid="{00000000-0005-0000-0000-00005F010000}"/>
    <cellStyle name="Normal GHG whole table 21" xfId="219" xr:uid="{00000000-0005-0000-0000-000060010000}"/>
    <cellStyle name="Normal GHG whole table 22" xfId="235" xr:uid="{00000000-0005-0000-0000-000061010000}"/>
    <cellStyle name="Normal GHG whole table 23" xfId="229" xr:uid="{00000000-0005-0000-0000-000062010000}"/>
    <cellStyle name="Normal GHG whole table 24" xfId="245" xr:uid="{00000000-0005-0000-0000-000063010000}"/>
    <cellStyle name="Normal GHG whole table 25" xfId="239" xr:uid="{00000000-0005-0000-0000-000064010000}"/>
    <cellStyle name="Normal GHG whole table 26" xfId="249" xr:uid="{00000000-0005-0000-0000-000065010000}"/>
    <cellStyle name="Normal GHG whole table 27" xfId="256" xr:uid="{00000000-0005-0000-0000-000066010000}"/>
    <cellStyle name="Normal GHG whole table 28" xfId="261" xr:uid="{00000000-0005-0000-0000-000067010000}"/>
    <cellStyle name="Normal GHG whole table 29" xfId="266" xr:uid="{00000000-0005-0000-0000-000068010000}"/>
    <cellStyle name="Normal GHG whole table 3" xfId="134" xr:uid="{00000000-0005-0000-0000-000069010000}"/>
    <cellStyle name="Normal GHG whole table 30" xfId="271" xr:uid="{00000000-0005-0000-0000-00006A010000}"/>
    <cellStyle name="Normal GHG whole table 31" xfId="276" xr:uid="{00000000-0005-0000-0000-00006B010000}"/>
    <cellStyle name="Normal GHG whole table 32" xfId="281" xr:uid="{00000000-0005-0000-0000-00006C010000}"/>
    <cellStyle name="Normal GHG whole table 33" xfId="286" xr:uid="{00000000-0005-0000-0000-00006D010000}"/>
    <cellStyle name="Normal GHG whole table 34" xfId="290" xr:uid="{00000000-0005-0000-0000-00006E010000}"/>
    <cellStyle name="Normal GHG whole table 35" xfId="295" xr:uid="{00000000-0005-0000-0000-00006F010000}"/>
    <cellStyle name="Normal GHG whole table 36" xfId="299" xr:uid="{00000000-0005-0000-0000-000070010000}"/>
    <cellStyle name="Normal GHG whole table 37" xfId="303" xr:uid="{00000000-0005-0000-0000-000071010000}"/>
    <cellStyle name="Normal GHG whole table 38" xfId="307" xr:uid="{00000000-0005-0000-0000-000072010000}"/>
    <cellStyle name="Normal GHG whole table 39" xfId="311" xr:uid="{00000000-0005-0000-0000-000073010000}"/>
    <cellStyle name="Normal GHG whole table 4" xfId="148" xr:uid="{00000000-0005-0000-0000-000074010000}"/>
    <cellStyle name="Normal GHG whole table 40" xfId="315" xr:uid="{00000000-0005-0000-0000-000075010000}"/>
    <cellStyle name="Normal GHG whole table 41" xfId="319" xr:uid="{00000000-0005-0000-0000-000076010000}"/>
    <cellStyle name="Normal GHG whole table 42" xfId="323" xr:uid="{00000000-0005-0000-0000-000077010000}"/>
    <cellStyle name="Normal GHG whole table 43" xfId="325" xr:uid="{00000000-0005-0000-0000-000078010000}"/>
    <cellStyle name="Normal GHG whole table 44" xfId="144" xr:uid="{00000000-0005-0000-0000-000079010000}"/>
    <cellStyle name="Normal GHG whole table 45" xfId="371" xr:uid="{00000000-0005-0000-0000-00007A010000}"/>
    <cellStyle name="Normal GHG whole table 46" xfId="357" xr:uid="{00000000-0005-0000-0000-00007B010000}"/>
    <cellStyle name="Normal GHG whole table 47" xfId="374" xr:uid="{00000000-0005-0000-0000-00007C010000}"/>
    <cellStyle name="Normal GHG whole table 48" xfId="354" xr:uid="{00000000-0005-0000-0000-00007D010000}"/>
    <cellStyle name="Normal GHG whole table 49" xfId="377" xr:uid="{00000000-0005-0000-0000-00007E010000}"/>
    <cellStyle name="Normal GHG whole table 5" xfId="133" xr:uid="{00000000-0005-0000-0000-00007F010000}"/>
    <cellStyle name="Normal GHG whole table 50" xfId="368" xr:uid="{00000000-0005-0000-0000-000080010000}"/>
    <cellStyle name="Normal GHG whole table 51" xfId="394" xr:uid="{00000000-0005-0000-0000-000081010000}"/>
    <cellStyle name="Normal GHG whole table 52" xfId="397" xr:uid="{00000000-0005-0000-0000-000082010000}"/>
    <cellStyle name="Normal GHG whole table 53" xfId="410" xr:uid="{00000000-0005-0000-0000-000083010000}"/>
    <cellStyle name="Normal GHG whole table 54" xfId="415" xr:uid="{00000000-0005-0000-0000-000084010000}"/>
    <cellStyle name="Normal GHG whole table 55" xfId="424" xr:uid="{00000000-0005-0000-0000-000085010000}"/>
    <cellStyle name="Normal GHG whole table 56" xfId="422" xr:uid="{00000000-0005-0000-0000-000086010000}"/>
    <cellStyle name="Normal GHG whole table 57" xfId="360" xr:uid="{00000000-0005-0000-0000-000087010000}"/>
    <cellStyle name="Normal GHG whole table 58" xfId="345" xr:uid="{00000000-0005-0000-0000-000088010000}"/>
    <cellStyle name="Normal GHG whole table 59" xfId="428" xr:uid="{00000000-0005-0000-0000-000089010000}"/>
    <cellStyle name="Normal GHG whole table 6" xfId="151" xr:uid="{00000000-0005-0000-0000-00008A010000}"/>
    <cellStyle name="Normal GHG whole table 60" xfId="434" xr:uid="{00000000-0005-0000-0000-00008B010000}"/>
    <cellStyle name="Normal GHG whole table 7" xfId="130" xr:uid="{00000000-0005-0000-0000-00008C010000}"/>
    <cellStyle name="Normal GHG whole table 8" xfId="152" xr:uid="{00000000-0005-0000-0000-00008D010000}"/>
    <cellStyle name="Normal GHG whole table 9" xfId="128" xr:uid="{00000000-0005-0000-0000-00008E010000}"/>
    <cellStyle name="Normal_CAS Ciba" xfId="79" xr:uid="{00000000-0005-0000-0000-00008F010000}"/>
    <cellStyle name="NormalTabelle" xfId="80" xr:uid="{00000000-0005-0000-0000-000090010000}"/>
    <cellStyle name="Prozent 2" xfId="81" xr:uid="{00000000-0005-0000-0000-000091010000}"/>
    <cellStyle name="Prozent 3" xfId="82" xr:uid="{00000000-0005-0000-0000-000092010000}"/>
    <cellStyle name="Prozent 3 2" xfId="380" xr:uid="{00000000-0005-0000-0000-000093010000}"/>
    <cellStyle name="Prozent 4" xfId="83" xr:uid="{00000000-0005-0000-0000-000094010000}"/>
    <cellStyle name="Prozent 4 2" xfId="381" xr:uid="{00000000-0005-0000-0000-000095010000}"/>
    <cellStyle name="prozent+" xfId="84" xr:uid="{00000000-0005-0000-0000-000096010000}"/>
    <cellStyle name="Prüfung" xfId="85" xr:uid="{00000000-0005-0000-0000-000097010000}"/>
    <cellStyle name="Scientific" xfId="86" xr:uid="{00000000-0005-0000-0000-000098010000}"/>
    <cellStyle name="Stand. 2" xfId="41" xr:uid="{00000000-0005-0000-0000-000099010000}"/>
    <cellStyle name="Standard" xfId="0" builtinId="0"/>
    <cellStyle name="Standard 2" xfId="1" xr:uid="{00000000-0005-0000-0000-00009B010000}"/>
    <cellStyle name="Standard 2 2" xfId="40" xr:uid="{00000000-0005-0000-0000-00009C010000}"/>
    <cellStyle name="Standard 2 3" xfId="88" xr:uid="{00000000-0005-0000-0000-00009D010000}"/>
    <cellStyle name="Standard 2 4" xfId="87" xr:uid="{00000000-0005-0000-0000-00009E010000}"/>
    <cellStyle name="Standard 3" xfId="89" xr:uid="{00000000-0005-0000-0000-00009F010000}"/>
    <cellStyle name="Standard 4" xfId="4" xr:uid="{00000000-0005-0000-0000-0000A0010000}"/>
    <cellStyle name="Standard 4 2" xfId="90" xr:uid="{00000000-0005-0000-0000-0000A1010000}"/>
    <cellStyle name="Standard 4 3" xfId="385" xr:uid="{00000000-0005-0000-0000-0000A2010000}"/>
    <cellStyle name="Standard 5" xfId="91" xr:uid="{00000000-0005-0000-0000-0000A3010000}"/>
    <cellStyle name="Standard 5 2" xfId="386" xr:uid="{00000000-0005-0000-0000-0000A4010000}"/>
    <cellStyle name="Standard 6" xfId="92" xr:uid="{00000000-0005-0000-0000-0000A5010000}"/>
    <cellStyle name="Standard 6 2" xfId="387" xr:uid="{00000000-0005-0000-0000-0000A6010000}"/>
    <cellStyle name="Standard 7" xfId="93" xr:uid="{00000000-0005-0000-0000-0000A7010000}"/>
    <cellStyle name="Standard 7 2" xfId="388" xr:uid="{00000000-0005-0000-0000-0000A8010000}"/>
    <cellStyle name="Standard 8" xfId="94" xr:uid="{00000000-0005-0000-0000-0000A9010000}"/>
    <cellStyle name="Standard 9" xfId="6" xr:uid="{00000000-0005-0000-0000-0000AA010000}"/>
    <cellStyle name="Standard_etool_4_Stand_23_11_05-neu" xfId="2" xr:uid="{00000000-0005-0000-0000-0000AB010000}"/>
    <cellStyle name="Standard_etool_4_Stand_23_11_05-neu 2" xfId="3" xr:uid="{00000000-0005-0000-0000-0000AC010000}"/>
    <cellStyle name="text" xfId="95" xr:uid="{00000000-0005-0000-0000-0000AD010000}"/>
    <cellStyle name="Text-Manual" xfId="96" xr:uid="{00000000-0005-0000-0000-0000AE010000}"/>
    <cellStyle name="Title" xfId="97" xr:uid="{00000000-0005-0000-0000-0000AF010000}"/>
    <cellStyle name="unit" xfId="98" xr:uid="{00000000-0005-0000-0000-0000B0010000}"/>
    <cellStyle name="Wasser" xfId="99" xr:uid="{00000000-0005-0000-0000-0000B1010000}"/>
    <cellStyle name="Wasseremission" xfId="100" xr:uid="{00000000-0005-0000-0000-0000B2010000}"/>
    <cellStyle name="wis" xfId="101" xr:uid="{00000000-0005-0000-0000-0000B3010000}"/>
    <cellStyle name="wissenschaft" xfId="102" xr:uid="{00000000-0005-0000-0000-0000B4010000}"/>
    <cellStyle name="wissenschaft+" xfId="105" xr:uid="{00000000-0005-0000-0000-0000B5010000}"/>
    <cellStyle name="wissenschaft-Eingabe" xfId="103" xr:uid="{00000000-0005-0000-0000-0000B6010000}"/>
    <cellStyle name="wissenschaft-Eingabe 2" xfId="104" xr:uid="{00000000-0005-0000-0000-0000B7010000}"/>
    <cellStyle name="zkh" xfId="106" xr:uid="{00000000-0005-0000-0000-0000B8010000}"/>
  </cellStyles>
  <dxfs count="110">
    <dxf>
      <numFmt numFmtId="3" formatCode="#,##0"/>
    </dxf>
    <dxf>
      <numFmt numFmtId="3" formatCode="#,##0"/>
    </dxf>
    <dxf>
      <numFmt numFmtId="188" formatCode="#,##0.0"/>
    </dxf>
    <dxf>
      <numFmt numFmtId="4" formatCode="#,##0.00"/>
    </dxf>
    <dxf>
      <numFmt numFmtId="189" formatCode="#,##0.000"/>
    </dxf>
    <dxf>
      <numFmt numFmtId="189" formatCode="#,##0.000"/>
    </dxf>
    <dxf>
      <numFmt numFmtId="4" formatCode="#,##0.00"/>
    </dxf>
    <dxf>
      <numFmt numFmtId="188" formatCode="#,##0.0"/>
    </dxf>
    <dxf>
      <numFmt numFmtId="3" formatCode="#,##0"/>
    </dxf>
    <dxf>
      <numFmt numFmtId="3" formatCode="#,##0"/>
    </dxf>
    <dxf>
      <numFmt numFmtId="3" formatCode="#,##0"/>
    </dxf>
    <dxf>
      <numFmt numFmtId="189" formatCode="#,##0.000"/>
    </dxf>
    <dxf>
      <numFmt numFmtId="4" formatCode="#,##0.00"/>
    </dxf>
    <dxf>
      <numFmt numFmtId="188" formatCode="#,##0.0"/>
    </dxf>
    <dxf>
      <numFmt numFmtId="3" formatCode="#,##0"/>
    </dxf>
    <dxf>
      <numFmt numFmtId="189" formatCode="#,##0.000"/>
    </dxf>
    <dxf>
      <numFmt numFmtId="4" formatCode="#,##0.00"/>
    </dxf>
    <dxf>
      <numFmt numFmtId="188" formatCode="#,##0.0"/>
    </dxf>
    <dxf>
      <numFmt numFmtId="3" formatCode="#,##0"/>
    </dxf>
    <dxf>
      <numFmt numFmtId="3" formatCode="#,##0"/>
    </dxf>
    <dxf>
      <numFmt numFmtId="189" formatCode="#,##0.000"/>
    </dxf>
    <dxf>
      <numFmt numFmtId="188" formatCode="#,##0.0"/>
    </dxf>
    <dxf>
      <numFmt numFmtId="3" formatCode="#,##0"/>
    </dxf>
    <dxf>
      <numFmt numFmtId="3" formatCode="#,##0"/>
    </dxf>
    <dxf>
      <numFmt numFmtId="4" formatCode="#,##0.00"/>
    </dxf>
    <dxf>
      <numFmt numFmtId="4" formatCode="#,##0.00"/>
    </dxf>
    <dxf>
      <numFmt numFmtId="188" formatCode="#,##0.0"/>
    </dxf>
    <dxf>
      <numFmt numFmtId="3" formatCode="#,##0"/>
    </dxf>
    <dxf>
      <numFmt numFmtId="3" formatCode="#,##0"/>
    </dxf>
    <dxf>
      <numFmt numFmtId="189" formatCode="#,##0.000"/>
    </dxf>
    <dxf>
      <numFmt numFmtId="3" formatCode="#,##0"/>
    </dxf>
    <dxf>
      <numFmt numFmtId="3" formatCode="#,##0"/>
    </dxf>
    <dxf>
      <numFmt numFmtId="188" formatCode="#,##0.0"/>
    </dxf>
    <dxf>
      <numFmt numFmtId="4" formatCode="#,##0.00"/>
    </dxf>
    <dxf>
      <numFmt numFmtId="189" formatCode="#,##0.000"/>
    </dxf>
    <dxf>
      <numFmt numFmtId="3" formatCode="#,##0"/>
    </dxf>
    <dxf>
      <numFmt numFmtId="4" formatCode="#,##0.00"/>
    </dxf>
    <dxf>
      <numFmt numFmtId="188" formatCode="#,##0.0"/>
    </dxf>
    <dxf>
      <numFmt numFmtId="3" formatCode="#,##0"/>
    </dxf>
    <dxf>
      <numFmt numFmtId="189" formatCode="#,##0.000"/>
    </dxf>
    <dxf>
      <numFmt numFmtId="189" formatCode="#,##0.000"/>
    </dxf>
    <dxf>
      <numFmt numFmtId="4" formatCode="#,##0.00"/>
    </dxf>
    <dxf>
      <numFmt numFmtId="3" formatCode="#,##0"/>
    </dxf>
    <dxf>
      <numFmt numFmtId="3" formatCode="#,##0"/>
    </dxf>
    <dxf>
      <numFmt numFmtId="188" formatCode="#,##0.0"/>
    </dxf>
    <dxf>
      <numFmt numFmtId="3" formatCode="#,##0"/>
    </dxf>
    <dxf>
      <numFmt numFmtId="3" formatCode="#,##0"/>
    </dxf>
    <dxf>
      <numFmt numFmtId="4" formatCode="#,##0.00"/>
    </dxf>
    <dxf>
      <numFmt numFmtId="189" formatCode="#,##0.000"/>
    </dxf>
    <dxf>
      <numFmt numFmtId="188" formatCode="#,##0.0"/>
    </dxf>
    <dxf>
      <numFmt numFmtId="3" formatCode="#,##0"/>
    </dxf>
    <dxf>
      <numFmt numFmtId="3" formatCode="#,##0"/>
    </dxf>
    <dxf>
      <numFmt numFmtId="188" formatCode="#,##0.0"/>
    </dxf>
    <dxf>
      <numFmt numFmtId="4" formatCode="#,##0.00"/>
    </dxf>
    <dxf>
      <numFmt numFmtId="189" formatCode="#,##0.000"/>
    </dxf>
    <dxf>
      <numFmt numFmtId="188" formatCode="#,##0.0"/>
    </dxf>
    <dxf>
      <numFmt numFmtId="189" formatCode="#,##0.000"/>
    </dxf>
    <dxf>
      <numFmt numFmtId="4" formatCode="#,##0.00"/>
    </dxf>
    <dxf>
      <numFmt numFmtId="3" formatCode="#,##0"/>
    </dxf>
    <dxf>
      <numFmt numFmtId="3" formatCode="#,##0"/>
    </dxf>
    <dxf>
      <numFmt numFmtId="3" formatCode="#,##0"/>
    </dxf>
    <dxf>
      <numFmt numFmtId="3" formatCode="#,##0"/>
    </dxf>
    <dxf>
      <numFmt numFmtId="188" formatCode="#,##0.0"/>
    </dxf>
    <dxf>
      <numFmt numFmtId="4" formatCode="#,##0.00"/>
    </dxf>
    <dxf>
      <numFmt numFmtId="189" formatCode="#,##0.000"/>
    </dxf>
    <dxf>
      <numFmt numFmtId="3" formatCode="#,##0"/>
    </dxf>
    <dxf>
      <numFmt numFmtId="4" formatCode="#,##0.00"/>
    </dxf>
    <dxf>
      <numFmt numFmtId="189" formatCode="#,##0.000"/>
    </dxf>
    <dxf>
      <numFmt numFmtId="3" formatCode="#,##0"/>
    </dxf>
    <dxf>
      <numFmt numFmtId="188" formatCode="#,##0.0"/>
    </dxf>
    <dxf>
      <numFmt numFmtId="4" formatCode="#,##0.00"/>
    </dxf>
    <dxf>
      <numFmt numFmtId="3" formatCode="#,##0"/>
    </dxf>
    <dxf>
      <numFmt numFmtId="3" formatCode="#,##0"/>
    </dxf>
    <dxf>
      <numFmt numFmtId="188" formatCode="#,##0.0"/>
    </dxf>
    <dxf>
      <numFmt numFmtId="189" formatCode="#,##0.000"/>
    </dxf>
    <dxf>
      <numFmt numFmtId="4" formatCode="#,##0.00"/>
    </dxf>
    <dxf>
      <numFmt numFmtId="188" formatCode="#,##0.0"/>
    </dxf>
    <dxf>
      <numFmt numFmtId="3" formatCode="#,##0"/>
    </dxf>
    <dxf>
      <numFmt numFmtId="3" formatCode="#,##0"/>
    </dxf>
    <dxf>
      <numFmt numFmtId="189" formatCode="#,##0.000"/>
    </dxf>
    <dxf>
      <numFmt numFmtId="3" formatCode="#,##0"/>
    </dxf>
    <dxf>
      <numFmt numFmtId="3" formatCode="#,##0"/>
    </dxf>
    <dxf>
      <numFmt numFmtId="188" formatCode="#,##0.0"/>
    </dxf>
    <dxf>
      <numFmt numFmtId="4" formatCode="#,##0.00"/>
    </dxf>
    <dxf>
      <numFmt numFmtId="189" formatCode="#,##0.000"/>
    </dxf>
    <dxf>
      <numFmt numFmtId="189" formatCode="#,##0.000"/>
    </dxf>
    <dxf>
      <numFmt numFmtId="3" formatCode="#,##0"/>
    </dxf>
    <dxf>
      <numFmt numFmtId="3" formatCode="#,##0"/>
    </dxf>
    <dxf>
      <numFmt numFmtId="188" formatCode="#,##0.0"/>
    </dxf>
    <dxf>
      <numFmt numFmtId="4" formatCode="#,##0.00"/>
    </dxf>
    <dxf>
      <fill>
        <patternFill>
          <bgColor theme="6" tint="0.3999450666829432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C00000"/>
      </font>
      <fill>
        <patternFill>
          <bgColor rgb="FFFFFF99"/>
        </patternFill>
      </fill>
    </dxf>
    <dxf>
      <font>
        <color rgb="FFC00000"/>
      </font>
      <fill>
        <patternFill>
          <bgColor rgb="FFFFFF99"/>
        </patternFill>
      </fill>
    </dxf>
    <dxf>
      <font>
        <color rgb="FFC00000"/>
      </font>
      <fill>
        <patternFill>
          <bgColor rgb="FFFFFF99"/>
        </patternFill>
      </fill>
    </dxf>
    <dxf>
      <font>
        <color rgb="FFC00000"/>
      </font>
      <fill>
        <patternFill>
          <bgColor rgb="FFFFFF99"/>
        </patternFill>
      </fill>
    </dxf>
    <dxf>
      <font>
        <strike val="0"/>
        <color auto="1"/>
      </font>
      <fill>
        <patternFill>
          <bgColor theme="6" tint="0.39994506668294322"/>
        </patternFill>
      </fill>
    </dxf>
    <dxf>
      <font>
        <strike val="0"/>
        <color auto="1"/>
      </font>
      <fill>
        <patternFill>
          <bgColor theme="9" tint="0.399945066682943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BF8FF"/>
      <rgbColor rgb="0099FF99"/>
      <rgbColor rgb="00FFFFDD"/>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AEA"/>
      <color rgb="FFFFFFCC"/>
      <color rgb="FFEBE2AD"/>
      <color rgb="FFFFFF99"/>
      <color rgb="FFCBDE90"/>
      <color rgb="FFEAE3AE"/>
      <color rgb="FFEBEBAD"/>
      <color rgb="FFD7E5E9"/>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3</xdr:row>
          <xdr:rowOff>136071</xdr:rowOff>
        </xdr:from>
        <xdr:to>
          <xdr:col>5</xdr:col>
          <xdr:colOff>0</xdr:colOff>
          <xdr:row>5</xdr:row>
          <xdr:rowOff>38100</xdr:rowOff>
        </xdr:to>
        <xdr:sp macro="" textlink="">
          <xdr:nvSpPr>
            <xdr:cNvPr id="40978" name="Button 18" descr="Tabellen umbenennen" hidden="1">
              <a:extLst>
                <a:ext uri="{63B3BB69-23CF-44E3-9099-C40C66FF867C}">
                  <a14:compatExt spid="_x0000_s40978"/>
                </a:ext>
                <a:ext uri="{FF2B5EF4-FFF2-40B4-BE49-F238E27FC236}">
                  <a16:creationId xmlns:a16="http://schemas.microsoft.com/office/drawing/2014/main" id="{00000000-0008-0000-0100-000012A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de-CH" sz="900" b="0" i="0" u="none" strike="noStrike" baseline="0">
                  <a:solidFill>
                    <a:srgbClr val="000000"/>
                  </a:solidFill>
                  <a:latin typeface="Arial"/>
                  <a:cs typeface="Arial"/>
                </a:rPr>
                <a:t>Tabellen und Hilfstexte umbenennen</a:t>
              </a:r>
            </a:p>
          </xdr:txBody>
        </xdr:sp>
        <xdr:clientData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goo.gl/KYbs1T" TargetMode="External"/><Relationship Id="rId13" Type="http://schemas.openxmlformats.org/officeDocument/2006/relationships/hyperlink" Target="https://goo.gl/CsXc3F" TargetMode="External"/><Relationship Id="rId18" Type="http://schemas.openxmlformats.org/officeDocument/2006/relationships/hyperlink" Target="https://www.kbob.admin.ch/kbob/de/home/publikationen/nachhaltiges-bauen/oekobilanzdaten_baubereich.html" TargetMode="External"/><Relationship Id="rId26" Type="http://schemas.openxmlformats.org/officeDocument/2006/relationships/hyperlink" Target="https://www.kbob.admin.ch/kbob/de/home/publikationen/nachhaltiges-bauen/oekobilanzdaten_baubereich.html" TargetMode="External"/><Relationship Id="rId3" Type="http://schemas.openxmlformats.org/officeDocument/2006/relationships/hyperlink" Target="https://goo.gl/sVnE6C" TargetMode="External"/><Relationship Id="rId21" Type="http://schemas.openxmlformats.org/officeDocument/2006/relationships/hyperlink" Target="https://www.kbob.admin.ch/kbob/de/home/publikationen/nachhaltiges-bauen/oekobilanzdaten_baubereich.html" TargetMode="External"/><Relationship Id="rId7" Type="http://schemas.openxmlformats.org/officeDocument/2006/relationships/hyperlink" Target="https://goo.gl/LmzBbu" TargetMode="External"/><Relationship Id="rId12" Type="http://schemas.openxmlformats.org/officeDocument/2006/relationships/hyperlink" Target="https://goo.gl/SxXoFA" TargetMode="External"/><Relationship Id="rId17" Type="http://schemas.openxmlformats.org/officeDocument/2006/relationships/hyperlink" Target="https://www.kbob.admin.ch/kbob/de/home/publikationen/nachhaltiges-bauen/oekobilanzdaten_baubereich.html" TargetMode="External"/><Relationship Id="rId25" Type="http://schemas.openxmlformats.org/officeDocument/2006/relationships/hyperlink" Target="https://www.kbob.admin.ch/kbob/de/home/publikationen/nachhaltiges-bauen/oekobilanzdaten_baubereich.html" TargetMode="External"/><Relationship Id="rId2" Type="http://schemas.openxmlformats.org/officeDocument/2006/relationships/hyperlink" Target="https://goo.gl/JPvm16" TargetMode="External"/><Relationship Id="rId16" Type="http://schemas.openxmlformats.org/officeDocument/2006/relationships/hyperlink" Target="https://goo.gl/x917LE" TargetMode="External"/><Relationship Id="rId20" Type="http://schemas.openxmlformats.org/officeDocument/2006/relationships/hyperlink" Target="https://www.kbob.admin.ch/kbob/de/home/publikationen/nachhaltiges-bauen/oekobilanzdaten_baubereich.html" TargetMode="External"/><Relationship Id="rId1" Type="http://schemas.openxmlformats.org/officeDocument/2006/relationships/hyperlink" Target="https://goo.gl/zEaUJS" TargetMode="External"/><Relationship Id="rId6" Type="http://schemas.openxmlformats.org/officeDocument/2006/relationships/hyperlink" Target="https://goo.gl/g4fxdv" TargetMode="External"/><Relationship Id="rId11" Type="http://schemas.openxmlformats.org/officeDocument/2006/relationships/hyperlink" Target="https://goo.gl/xKxbmY" TargetMode="External"/><Relationship Id="rId24" Type="http://schemas.openxmlformats.org/officeDocument/2006/relationships/hyperlink" Target="https://www.kbob.admin.ch/kbob/de/home/publikationen/nachhaltiges-bauen/oekobilanzdaten_baubereich.html" TargetMode="External"/><Relationship Id="rId5" Type="http://schemas.openxmlformats.org/officeDocument/2006/relationships/hyperlink" Target="https://goo.gl/av4o76" TargetMode="External"/><Relationship Id="rId15" Type="http://schemas.openxmlformats.org/officeDocument/2006/relationships/hyperlink" Target="https://goo.gl/Wj94x7" TargetMode="External"/><Relationship Id="rId23" Type="http://schemas.openxmlformats.org/officeDocument/2006/relationships/hyperlink" Target="https://www.kbob.admin.ch/kbob/de/home/publikationen/nachhaltiges-bauen/oekobilanzdaten_baubereich.html" TargetMode="External"/><Relationship Id="rId10" Type="http://schemas.openxmlformats.org/officeDocument/2006/relationships/hyperlink" Target="https://goo.gl/GQWRzV" TargetMode="External"/><Relationship Id="rId19" Type="http://schemas.openxmlformats.org/officeDocument/2006/relationships/hyperlink" Target="https://goo.gl/48WKt7" TargetMode="External"/><Relationship Id="rId4" Type="http://schemas.openxmlformats.org/officeDocument/2006/relationships/hyperlink" Target="https://goo.gl/asmk8p" TargetMode="External"/><Relationship Id="rId9" Type="http://schemas.openxmlformats.org/officeDocument/2006/relationships/hyperlink" Target="https://goo.gl/hq7GQ4" TargetMode="External"/><Relationship Id="rId14" Type="http://schemas.openxmlformats.org/officeDocument/2006/relationships/hyperlink" Target="https://goo.gl/Nzbt5Z" TargetMode="External"/><Relationship Id="rId22" Type="http://schemas.openxmlformats.org/officeDocument/2006/relationships/hyperlink" Target="https://www.kbob.admin.ch/kbob/de/home/publikationen/nachhaltiges-bauen/oekobilanzdaten_baubereich.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ECD69E"/>
    <pageSetUpPr fitToPage="1"/>
  </sheetPr>
  <dimension ref="A1:E82"/>
  <sheetViews>
    <sheetView showGridLines="0" tabSelected="1" zoomScaleNormal="100" workbookViewId="0">
      <selection activeCell="E5" sqref="E5"/>
    </sheetView>
  </sheetViews>
  <sheetFormatPr baseColWidth="10" defaultColWidth="11.5625" defaultRowHeight="14.15"/>
  <cols>
    <col min="1" max="1" width="15.5625" style="87" customWidth="1"/>
    <col min="2" max="2" width="25.5625" style="87" customWidth="1"/>
    <col min="3" max="4" width="15.5625" style="87" customWidth="1"/>
    <col min="5" max="5" width="10.5625" style="87" customWidth="1"/>
    <col min="6" max="16384" width="11.5625" style="87"/>
  </cols>
  <sheetData>
    <row r="1" spans="1:5" s="12" customFormat="1" ht="17.600000000000001">
      <c r="A1" s="88" t="str">
        <f>VLOOKUP(ADDRESS(ROW(),COLUMN(),4),MatrixTexteT4,2,FALSE)</f>
        <v>Questionnaire rénovation pour l'énergie grise/GES</v>
      </c>
      <c r="B1" s="89"/>
      <c r="C1" s="89"/>
      <c r="D1" s="89"/>
      <c r="E1" s="90"/>
    </row>
    <row r="3" spans="1:5">
      <c r="A3" s="96" t="str">
        <f>VLOOKUP(ADDRESS(ROW(),COLUMN(),4),MatrixTexteT4,2,FALSE)</f>
        <v>Questions</v>
      </c>
      <c r="B3" s="97"/>
      <c r="C3" s="97"/>
      <c r="D3" s="97"/>
      <c r="E3" s="98" t="str">
        <f>VLOOKUP(ADDRESS(ROW(),COLUMN(),4),MatrixTexteT4,2,FALSE)</f>
        <v>Réponse</v>
      </c>
    </row>
    <row r="4" spans="1:5" s="85" customFormat="1">
      <c r="A4" s="91"/>
      <c r="B4" s="91"/>
      <c r="C4" s="91"/>
      <c r="D4" s="91"/>
      <c r="E4" s="91"/>
    </row>
    <row r="5" spans="1:5" s="85" customFormat="1" ht="42.65" customHeight="1">
      <c r="A5" s="100" t="str">
        <f>VLOOKUP(ADDRESS(ROW(),COLUMN(),4),MatrixTexteT4,2,FALSE)</f>
        <v>Taille de l'objet</v>
      </c>
      <c r="B5" s="102" t="str">
        <f>VLOOKUP(ADDRESS(ROW(),COLUMN(),4),MatrixTexteT4,2,FALSE)</f>
        <v>Il s'agit soit d'un immeuble locatif avec une surface de référence énergétique (SRE) de moins de 5'000 m2 ou d'une autre catégorie de bâtiment avec une SRE de moins de 2'000 m2.</v>
      </c>
      <c r="C5" s="102"/>
      <c r="D5" s="103"/>
      <c r="E5" s="101"/>
    </row>
    <row r="6" spans="1:5" s="85" customFormat="1">
      <c r="A6" s="92"/>
      <c r="B6" s="104"/>
      <c r="C6" s="104"/>
      <c r="D6" s="105"/>
      <c r="E6" s="93"/>
    </row>
    <row r="7" spans="1:5" s="85" customFormat="1" ht="42.65" customHeight="1">
      <c r="A7" s="100" t="str">
        <f>VLOOKUP(ADDRESS(ROW(),COLUMN(),4),MatrixTexteT4,2,FALSE)</f>
        <v>Compacité</v>
      </c>
      <c r="B7" s="102" t="str">
        <f>VLOOKUP(ADDRESS(ROW(),COLUMN(),4),MatrixTexteT4,2,FALSE)</f>
        <v>La compacité du bâtiment est restée inchangée ou s'est améliorée (rapport entre le facteur d'enveloppe thermique Ath et la surface de référence énergétique AE)</v>
      </c>
      <c r="C7" s="102"/>
      <c r="D7" s="103"/>
      <c r="E7" s="101"/>
    </row>
    <row r="8" spans="1:5" s="85" customFormat="1">
      <c r="A8" s="92"/>
      <c r="B8" s="104"/>
      <c r="C8" s="104"/>
      <c r="D8" s="105"/>
      <c r="E8" s="93"/>
    </row>
    <row r="9" spans="1:5" s="85" customFormat="1" ht="28.4" customHeight="1">
      <c r="A9" s="100" t="str">
        <f>VLOOKUP(ADDRESS(ROW(),COLUMN(),4),MatrixTexteT4,2,FALSE)</f>
        <v>Degrés d'intervention</v>
      </c>
      <c r="B9" s="102" t="str">
        <f>VLOOKUP(ADDRESS(ROW(),COLUMN(),4),MatrixTexteT4,2,FALSE)</f>
        <v>La majeure partie des éléments de construction existants est conservée (pas d'évidemment, pas de déconstruction jusqu'au gros œuvre).</v>
      </c>
      <c r="C9" s="102"/>
      <c r="D9" s="103"/>
      <c r="E9" s="101"/>
    </row>
    <row r="10" spans="1:5" s="85" customFormat="1">
      <c r="A10" s="92"/>
      <c r="B10" s="104"/>
      <c r="C10" s="104"/>
      <c r="D10" s="105"/>
      <c r="E10" s="93"/>
    </row>
    <row r="11" spans="1:5" s="85" customFormat="1" ht="127.75" customHeight="1">
      <c r="A11" s="100" t="str">
        <f>VLOOKUP(ADDRESS(ROW(),COLUMN(),4),MatrixTexteT4,2,FALSE)</f>
        <v>Construction parois extérieures au-dessus du terrain et toiture</v>
      </c>
      <c r="B11" s="102" t="str">
        <f>VLOOKUP(ADDRESS(ROW(),COLUMN(),4),MatrixTexteT4,2,FALSE)</f>
        <v>Les parois extérieures au-dessus du terrain et la toiture non pas été rénovées resp. renouvelées avec une matérialisation identique (mis à part les couches d'isolation supplémentaires).
Ou les parois extérieures remplacées ou construites à neuf appartiennent à un des systèmes constructifs suivants:
- Parois massive simple avec revêtement léger (bois, dérivés du bois, fibres-ciment, éléments en béton &lt; 8cm, panneaux photovoltaïques, etc.)
- Ossature bois avec isolation extérieure crépie ou revêtement léger
- Parois massive simple avec isolation extérieure crépie</v>
      </c>
      <c r="C11" s="102"/>
      <c r="D11" s="103"/>
      <c r="E11" s="101"/>
    </row>
    <row r="12" spans="1:5" s="85" customFormat="1">
      <c r="A12" s="92"/>
      <c r="B12" s="104"/>
      <c r="C12" s="104"/>
      <c r="D12" s="105"/>
      <c r="E12" s="93"/>
    </row>
    <row r="13" spans="1:5" s="85" customFormat="1" ht="56.8" customHeight="1">
      <c r="A13" s="100" t="str">
        <f>VLOOKUP(ADDRESS(ROW(),COLUMN(),4),MatrixTexteT4,2,FALSE)</f>
        <v>Agrandissements</v>
      </c>
      <c r="B13" s="102" t="str">
        <f>VLOOKUP(ADDRESS(ROW(),COLUMN(),4),MatrixTexteT4,2,FALSE)</f>
        <v xml:space="preserve">Le volume du bâtiment n'a pas été agrandi (mis à part les agrandissements résultant de couches d'isolation supplémentaires).
Ou la surface de plancher du volume supplémentaire s'élève à moins de 20% de la surface existante de plancher. </v>
      </c>
      <c r="C13" s="102"/>
      <c r="D13" s="103"/>
      <c r="E13" s="101"/>
    </row>
    <row r="14" spans="1:5" s="85" customFormat="1">
      <c r="A14" s="92"/>
      <c r="B14" s="104"/>
      <c r="C14" s="104"/>
      <c r="D14" s="105"/>
      <c r="E14" s="93"/>
    </row>
    <row r="15" spans="1:5" s="85" customFormat="1" ht="42.65" customHeight="1">
      <c r="A15" s="100" t="str">
        <f>VLOOKUP(ADDRESS(ROW(),COLUMN(),4),MatrixTexteT4,2,FALSE)</f>
        <v>Fenêtres</v>
      </c>
      <c r="B15" s="102" t="str">
        <f>VLOOKUP(ADDRESS(ROW(),COLUMN(),4),MatrixTexteT4,2,FALSE)</f>
        <v>Les surfaces vitrées de la façade et de la toiture ont été agrandies de 20% au maximum et les cadres des fenêtres remplacées ou fenêtres nouvelles sont en bois ou bois-métal.</v>
      </c>
      <c r="C15" s="102"/>
      <c r="D15" s="103"/>
      <c r="E15" s="101"/>
    </row>
    <row r="16" spans="1:5" s="85" customFormat="1">
      <c r="A16" s="92"/>
      <c r="B16" s="104"/>
      <c r="C16" s="104"/>
      <c r="D16" s="104"/>
      <c r="E16" s="94"/>
    </row>
    <row r="17" spans="1:5" s="85" customFormat="1" ht="42.65" customHeight="1">
      <c r="A17" s="100" t="str">
        <f>VLOOKUP(ADDRESS(ROW(),COLUMN(),4),MatrixTexteT4,2,FALSE)</f>
        <v>Adaptations de la structure porteuse</v>
      </c>
      <c r="B17" s="102" t="str">
        <f>VLOOKUP(ADDRESS(ROW(),COLUMN(),4),MatrixTexteT4,2,FALSE)</f>
        <v>Les éléments porteurs du bâtiment ne sont pas modifiés (excepté des percements isolés jusqu'à une surface de 3 m2 dans les parois porteurs ainsi que des renforts parasismiques).</v>
      </c>
      <c r="C17" s="102"/>
      <c r="D17" s="103"/>
      <c r="E17" s="101"/>
    </row>
    <row r="18" spans="1:5" s="85" customFormat="1">
      <c r="A18" s="95"/>
      <c r="B18" s="95"/>
      <c r="C18" s="95"/>
      <c r="D18" s="95"/>
      <c r="E18" s="94"/>
    </row>
    <row r="19" spans="1:5" s="85" customFormat="1">
      <c r="A19" s="96" t="str">
        <f>VLOOKUP(ADDRESS(ROW(),COLUMN(),4),MatrixTexteT4,2,FALSE)</f>
        <v>Résultat</v>
      </c>
      <c r="B19" s="97"/>
      <c r="C19" s="97"/>
      <c r="D19" s="99" t="str">
        <f>IF(COUNTA(A5:A17)=COUNTA(E5:E17),Ja,Nein)</f>
        <v>Non</v>
      </c>
      <c r="E19" s="99" t="str">
        <f>IF(AND(E5=Ja,E7=Ja,E9=Ja,E11=Ja,E13=Ja,E15=Ja, E17=Ja),Ja,Nein)</f>
        <v>Non</v>
      </c>
    </row>
    <row r="20" spans="1:5" s="85" customFormat="1">
      <c r="A20" s="91"/>
      <c r="B20" s="91"/>
      <c r="C20" s="91"/>
      <c r="D20" s="91"/>
      <c r="E20" s="91"/>
    </row>
    <row r="21" spans="1:5" s="85" customFormat="1">
      <c r="A21" s="108" t="str">
        <f>IF(QuestComplete=Nein,Texte!$B$109,IF(ResQuest=Ja,Texte!$B$107,Texte!$B$108))</f>
        <v>Merci de remplir le questionnaire intégralement.</v>
      </c>
      <c r="B21" s="108"/>
      <c r="C21" s="108"/>
      <c r="D21" s="108"/>
      <c r="E21" s="108"/>
    </row>
    <row r="22" spans="1:5" s="85" customFormat="1">
      <c r="A22" s="91"/>
      <c r="B22" s="91"/>
      <c r="C22" s="91"/>
      <c r="D22" s="91"/>
      <c r="E22" s="91"/>
    </row>
    <row r="23" spans="1:5" s="85" customFormat="1">
      <c r="A23" s="85" t="s">
        <v>2430</v>
      </c>
      <c r="B23" s="106"/>
      <c r="C23" s="106"/>
      <c r="D23" s="106"/>
      <c r="E23" s="106"/>
    </row>
    <row r="24" spans="1:5" s="85" customFormat="1">
      <c r="B24" s="91"/>
      <c r="C24" s="91"/>
      <c r="D24" s="91"/>
      <c r="E24" s="91"/>
    </row>
    <row r="25" spans="1:5">
      <c r="A25" s="87" t="s">
        <v>2431</v>
      </c>
      <c r="B25" s="107"/>
      <c r="C25" s="107"/>
      <c r="D25" s="107"/>
      <c r="E25" s="107"/>
    </row>
    <row r="27" spans="1:5">
      <c r="A27" s="87" t="s">
        <v>2432</v>
      </c>
      <c r="B27" s="107"/>
      <c r="C27" s="107"/>
      <c r="D27" s="107"/>
      <c r="E27" s="107"/>
    </row>
    <row r="82" spans="1:4">
      <c r="A82" s="86">
        <v>5</v>
      </c>
      <c r="B82" s="86"/>
      <c r="C82" s="86"/>
      <c r="D82" s="86"/>
    </row>
  </sheetData>
  <sheetProtection algorithmName="SHA-512" hashValue="LtefwdeHZwgOAFA8HA4vDSpw2lzX+ZyF86in/4BnfWZtXVvOFrvu6KKfimQr0UhwyTeFDD71vjbi0Uh5uAuJ2A==" saltValue="k8Qef1A+UCftHFgzTIBcgA==" spinCount="100000" sheet="1"/>
  <mergeCells count="17">
    <mergeCell ref="B23:E23"/>
    <mergeCell ref="B25:E25"/>
    <mergeCell ref="B27:E27"/>
    <mergeCell ref="B16:D16"/>
    <mergeCell ref="B17:D17"/>
    <mergeCell ref="A21:E21"/>
    <mergeCell ref="B15:D15"/>
    <mergeCell ref="B5:D5"/>
    <mergeCell ref="B6:D6"/>
    <mergeCell ref="B7:D7"/>
    <mergeCell ref="B8:D8"/>
    <mergeCell ref="B9:D9"/>
    <mergeCell ref="B10:D10"/>
    <mergeCell ref="B11:D11"/>
    <mergeCell ref="B12:D12"/>
    <mergeCell ref="B13:D13"/>
    <mergeCell ref="B14:D14"/>
  </mergeCells>
  <phoneticPr fontId="0" type="noConversion"/>
  <dataValidations count="1">
    <dataValidation type="list" allowBlank="1" showInputMessage="1" showErrorMessage="1" sqref="E7 E5 E11 E13 E15:E18 E9" xr:uid="{00000000-0002-0000-0200-000000000000}">
      <formula1>JaNein</formula1>
    </dataValidation>
  </dataValidations>
  <printOptions horizontalCentered="1"/>
  <pageMargins left="0.70866141732283472" right="0.70866141732283472" top="0.74803149606299213" bottom="0.74803149606299213" header="0.31496062992125984" footer="0.31496062992125984"/>
  <pageSetup paperSize="9" scale="88" orientation="portrait" cellComments="atEnd" r:id="rId1"/>
  <headerFooter alignWithMargins="0">
    <oddHeader>&amp;L&amp;9Minergie-ECO&amp;R&amp;9Questionnaire rénovation</oddHeader>
    <oddFooter>&amp;L&amp;9Impression du &amp;D&amp;C&amp;9https://www.minergie.ch/fr/certification/eco/&amp;R&amp;9&amp;P/&amp;N</oddFooter>
  </headerFooter>
  <extLst>
    <ext xmlns:x14="http://schemas.microsoft.com/office/spreadsheetml/2009/9/main" uri="{78C0D931-6437-407d-A8EE-F0AAD7539E65}">
      <x14:conditionalFormattings>
        <x14:conditionalFormatting xmlns:xm="http://schemas.microsoft.com/office/excel/2006/main">
          <x14:cfRule type="expression" priority="1" stopIfTrue="1" id="{0DD5E068-3CEC-452B-809B-7ADDFD65E516}">
            <xm:f>A21=Texte!$B$108</xm:f>
            <x14:dxf>
              <font>
                <strike val="0"/>
                <color auto="1"/>
              </font>
              <fill>
                <patternFill>
                  <bgColor theme="9" tint="0.39994506668294322"/>
                </patternFill>
              </fill>
            </x14:dxf>
          </x14:cfRule>
          <x14:cfRule type="expression" priority="2" stopIfTrue="1" id="{1470677D-76C7-46AB-8499-14B08F5C86D5}">
            <xm:f>A21=Texte!$B$107</xm:f>
            <x14:dxf>
              <font>
                <strike val="0"/>
                <color auto="1"/>
              </font>
              <fill>
                <patternFill>
                  <bgColor theme="6" tint="0.39994506668294322"/>
                </patternFill>
              </fill>
            </x14:dxf>
          </x14:cfRule>
          <xm:sqref>A21:E21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Y175"/>
  <sheetViews>
    <sheetView workbookViewId="0">
      <selection activeCell="B5" sqref="B5"/>
    </sheetView>
  </sheetViews>
  <sheetFormatPr baseColWidth="10" defaultColWidth="11.5625" defaultRowHeight="11.6"/>
  <cols>
    <col min="1" max="1" width="31" style="5" customWidth="1"/>
    <col min="2" max="2" width="41.125" style="5" customWidth="1"/>
    <col min="3" max="3" width="11.6875" style="5" customWidth="1"/>
    <col min="4" max="4" width="14.75" style="5" customWidth="1"/>
    <col min="5" max="5" width="17.125" style="5" customWidth="1"/>
    <col min="6" max="6" width="12.4375" style="5" bestFit="1" customWidth="1"/>
    <col min="7" max="7" width="14.3125" style="5" customWidth="1"/>
    <col min="8" max="8" width="12.6875" style="5" customWidth="1"/>
    <col min="9" max="13" width="9.5625" style="5" customWidth="1"/>
    <col min="14" max="14" width="9.6875" style="5" customWidth="1"/>
    <col min="15" max="20" width="7.125" style="5" customWidth="1"/>
    <col min="21" max="16384" width="11.5625" style="5"/>
  </cols>
  <sheetData>
    <row r="1" spans="1:12" ht="22.3">
      <c r="A1" s="11" t="s">
        <v>35</v>
      </c>
      <c r="B1" s="12"/>
      <c r="C1" s="12"/>
      <c r="D1" s="12"/>
      <c r="E1" s="12"/>
    </row>
    <row r="2" spans="1:12" ht="9" customHeight="1">
      <c r="A2" s="11"/>
      <c r="B2" s="12"/>
      <c r="C2" s="12"/>
      <c r="D2" s="12"/>
      <c r="E2" s="12"/>
    </row>
    <row r="3" spans="1:12" ht="12.45">
      <c r="A3" s="10" t="s">
        <v>9</v>
      </c>
      <c r="B3" s="10" t="s">
        <v>104</v>
      </c>
      <c r="C3" s="10" t="s">
        <v>105</v>
      </c>
      <c r="D3" s="10" t="s">
        <v>106</v>
      </c>
      <c r="E3" s="10" t="s">
        <v>107</v>
      </c>
      <c r="F3" s="10" t="s">
        <v>304</v>
      </c>
      <c r="G3" s="10" t="s">
        <v>305</v>
      </c>
      <c r="H3" s="10" t="s">
        <v>306</v>
      </c>
      <c r="I3" s="10" t="s">
        <v>347</v>
      </c>
      <c r="J3" s="10" t="s">
        <v>348</v>
      </c>
      <c r="K3" s="10" t="s">
        <v>349</v>
      </c>
      <c r="L3" s="10" t="s">
        <v>350</v>
      </c>
    </row>
    <row r="5" spans="1:12">
      <c r="A5" s="3" t="s">
        <v>128</v>
      </c>
      <c r="B5" s="13" t="s">
        <v>53</v>
      </c>
    </row>
    <row r="6" spans="1:12">
      <c r="A6" s="3"/>
    </row>
    <row r="7" spans="1:12">
      <c r="A7" s="3" t="s">
        <v>127</v>
      </c>
      <c r="B7" s="5" t="s">
        <v>129</v>
      </c>
    </row>
    <row r="8" spans="1:12">
      <c r="A8" s="3"/>
    </row>
    <row r="9" spans="1:12" ht="12.45">
      <c r="A9" s="3" t="s">
        <v>64</v>
      </c>
      <c r="B9" s="1" t="str">
        <f>Texte!$B$378</f>
        <v>Oui</v>
      </c>
      <c r="D9" s="6"/>
    </row>
    <row r="10" spans="1:12" ht="12.45">
      <c r="A10" s="5" t="s">
        <v>64</v>
      </c>
      <c r="B10" s="1" t="str">
        <f>Texte!$B$379</f>
        <v>Non</v>
      </c>
      <c r="D10" s="6"/>
    </row>
    <row r="11" spans="1:12">
      <c r="A11" s="3"/>
      <c r="D11" s="6"/>
    </row>
    <row r="12" spans="1:12">
      <c r="A12" s="3" t="s">
        <v>115</v>
      </c>
      <c r="B12" s="5" t="s">
        <v>115</v>
      </c>
      <c r="D12" s="6"/>
    </row>
    <row r="13" spans="1:12">
      <c r="A13" s="3"/>
      <c r="B13" s="5" t="s">
        <v>336</v>
      </c>
      <c r="D13" s="6"/>
    </row>
    <row r="14" spans="1:12">
      <c r="A14" s="3"/>
      <c r="D14" s="6"/>
    </row>
    <row r="15" spans="1:12">
      <c r="A15" s="3" t="s">
        <v>221</v>
      </c>
      <c r="B15" s="5" t="str">
        <f>Texte!B372</f>
        <v>Nouvelle construction</v>
      </c>
    </row>
    <row r="16" spans="1:12">
      <c r="B16" s="5" t="str">
        <f>Texte!B373</f>
        <v>Modernisation</v>
      </c>
    </row>
    <row r="18" spans="1:4">
      <c r="A18" s="3" t="s">
        <v>220</v>
      </c>
      <c r="B18" s="5" t="s">
        <v>218</v>
      </c>
    </row>
    <row r="19" spans="1:4">
      <c r="B19" s="5" t="s">
        <v>219</v>
      </c>
    </row>
    <row r="21" spans="1:4">
      <c r="A21" s="3" t="s">
        <v>288</v>
      </c>
      <c r="B21" s="5" t="s">
        <v>289</v>
      </c>
      <c r="C21" s="5" t="s">
        <v>313</v>
      </c>
    </row>
    <row r="22" spans="1:4">
      <c r="B22" s="5" t="s">
        <v>2406</v>
      </c>
      <c r="C22" s="5" t="s">
        <v>314</v>
      </c>
    </row>
    <row r="23" spans="1:4">
      <c r="B23" s="5" t="s">
        <v>290</v>
      </c>
      <c r="C23" s="5" t="s">
        <v>315</v>
      </c>
    </row>
    <row r="24" spans="1:4">
      <c r="B24" s="5" t="s">
        <v>291</v>
      </c>
      <c r="C24" s="5" t="s">
        <v>313</v>
      </c>
    </row>
    <row r="26" spans="1:4">
      <c r="C26" s="3" t="s">
        <v>340</v>
      </c>
    </row>
    <row r="27" spans="1:4">
      <c r="A27" s="4" t="s">
        <v>1679</v>
      </c>
      <c r="B27" s="4" t="s">
        <v>140</v>
      </c>
      <c r="C27" s="4" t="s">
        <v>1662</v>
      </c>
      <c r="D27" s="4" t="s">
        <v>1663</v>
      </c>
    </row>
    <row r="28" spans="1:4" ht="12.45">
      <c r="A28" s="5" t="s">
        <v>1676</v>
      </c>
      <c r="B28" s="2" t="str">
        <f>Texte!$B$113</f>
        <v>Habitat collectif</v>
      </c>
      <c r="C28" s="5">
        <v>90</v>
      </c>
      <c r="D28" s="5">
        <v>130</v>
      </c>
    </row>
    <row r="29" spans="1:4" ht="12.45">
      <c r="B29" s="2" t="str">
        <f>Texte!$B$114</f>
        <v>Petit immeuble locatif</v>
      </c>
      <c r="C29" s="5">
        <v>100</v>
      </c>
      <c r="D29" s="5">
        <v>145</v>
      </c>
    </row>
    <row r="30" spans="1:4" ht="12.45">
      <c r="B30" s="2" t="str">
        <f>Texte!$B$115</f>
        <v>Administration</v>
      </c>
      <c r="C30" s="5">
        <v>110</v>
      </c>
      <c r="D30" s="5">
        <v>150</v>
      </c>
    </row>
    <row r="31" spans="1:4" ht="12.45">
      <c r="B31" s="2" t="str">
        <f>Texte!$B$116</f>
        <v>Ecoles</v>
      </c>
      <c r="C31" s="5">
        <v>90</v>
      </c>
      <c r="D31" s="5">
        <v>130</v>
      </c>
    </row>
    <row r="32" spans="1:4" ht="12.45">
      <c r="B32" s="2" t="str">
        <f>Texte!$B$117</f>
        <v>Commerce</v>
      </c>
      <c r="C32" s="5">
        <v>170</v>
      </c>
      <c r="D32" s="5">
        <v>210</v>
      </c>
    </row>
    <row r="33" spans="1:6" ht="12.45">
      <c r="B33" s="2" t="str">
        <f>Texte!$B$118</f>
        <v>Restauration</v>
      </c>
      <c r="C33" s="5">
        <v>120</v>
      </c>
      <c r="D33" s="5">
        <v>160</v>
      </c>
    </row>
    <row r="34" spans="1:6" ht="12.45">
      <c r="B34" s="2" t="str">
        <f>Texte!$B$119</f>
        <v>Musées</v>
      </c>
      <c r="C34" s="5">
        <v>140</v>
      </c>
      <c r="D34" s="5">
        <v>180</v>
      </c>
    </row>
    <row r="35" spans="1:6" ht="12.45">
      <c r="B35" s="2" t="str">
        <f>Texte!$B$120</f>
        <v>Hôpitaux</v>
      </c>
      <c r="C35" s="5">
        <v>160</v>
      </c>
      <c r="D35" s="5">
        <v>200</v>
      </c>
    </row>
    <row r="36" spans="1:6" ht="12.45">
      <c r="B36" s="2" t="str">
        <f>Texte!$B$121</f>
        <v>Industrie</v>
      </c>
      <c r="C36" s="5">
        <v>140</v>
      </c>
      <c r="D36" s="5">
        <v>180</v>
      </c>
    </row>
    <row r="37" spans="1:6" ht="12.45">
      <c r="B37" s="2" t="str">
        <f>Texte!$B$122</f>
        <v>Ecoles de petite taille</v>
      </c>
      <c r="C37" s="5">
        <v>100</v>
      </c>
      <c r="D37" s="5">
        <v>145</v>
      </c>
    </row>
    <row r="38" spans="1:6" ht="12.45">
      <c r="B38" s="2" t="str">
        <f>Texte!$B$123</f>
        <v>Installations sportives</v>
      </c>
      <c r="C38" s="5">
        <v>140</v>
      </c>
      <c r="D38" s="5">
        <v>180</v>
      </c>
    </row>
    <row r="39" spans="1:6" ht="12.45">
      <c r="B39" s="2"/>
    </row>
    <row r="40" spans="1:6">
      <c r="C40" s="3" t="s">
        <v>1668</v>
      </c>
    </row>
    <row r="41" spans="1:6">
      <c r="A41" s="4" t="s">
        <v>1680</v>
      </c>
      <c r="B41" s="4" t="s">
        <v>140</v>
      </c>
      <c r="C41" s="4" t="s">
        <v>1664</v>
      </c>
      <c r="D41" s="4" t="s">
        <v>1665</v>
      </c>
    </row>
    <row r="42" spans="1:6" ht="12.45">
      <c r="A42" s="5" t="s">
        <v>1678</v>
      </c>
      <c r="B42" s="2" t="str">
        <f>Texte!$B$113</f>
        <v>Habitat collectif</v>
      </c>
      <c r="C42" s="66">
        <v>8</v>
      </c>
      <c r="D42" s="66">
        <v>10</v>
      </c>
      <c r="F42" s="5" t="s">
        <v>1806</v>
      </c>
    </row>
    <row r="43" spans="1:6" ht="12.45">
      <c r="B43" s="2" t="str">
        <f>Texte!$B$114</f>
        <v>Petit immeuble locatif</v>
      </c>
      <c r="C43" s="66">
        <v>8</v>
      </c>
      <c r="D43" s="66">
        <v>10.5</v>
      </c>
      <c r="F43" s="5" t="s">
        <v>1806</v>
      </c>
    </row>
    <row r="44" spans="1:6" ht="12.45">
      <c r="B44" s="2" t="str">
        <f>Texte!$B$115</f>
        <v>Administration</v>
      </c>
      <c r="C44" s="66">
        <v>8</v>
      </c>
      <c r="D44" s="66">
        <v>11</v>
      </c>
      <c r="F44" s="5" t="s">
        <v>1806</v>
      </c>
    </row>
    <row r="45" spans="1:6" ht="12.45">
      <c r="B45" s="2" t="str">
        <f>Texte!$B$116</f>
        <v>Ecoles</v>
      </c>
      <c r="C45" s="66">
        <v>8</v>
      </c>
      <c r="D45" s="66">
        <v>11</v>
      </c>
      <c r="F45" s="5" t="s">
        <v>1806</v>
      </c>
    </row>
    <row r="46" spans="1:6" ht="12.45">
      <c r="B46" s="2" t="str">
        <f>Texte!$B$117</f>
        <v>Commerce</v>
      </c>
      <c r="C46" s="66">
        <v>11</v>
      </c>
      <c r="D46" s="66">
        <v>16</v>
      </c>
      <c r="F46" s="5" t="s">
        <v>1806</v>
      </c>
    </row>
    <row r="47" spans="1:6" ht="12.45">
      <c r="B47" s="2" t="str">
        <f>Texte!$B$118</f>
        <v>Restauration</v>
      </c>
      <c r="C47" s="66">
        <v>8</v>
      </c>
      <c r="D47" s="66">
        <v>13</v>
      </c>
      <c r="F47" s="5" t="s">
        <v>1806</v>
      </c>
    </row>
    <row r="48" spans="1:6" ht="12.45">
      <c r="B48" s="2" t="str">
        <f>Texte!$B$119</f>
        <v>Musées</v>
      </c>
      <c r="C48" s="66">
        <v>11</v>
      </c>
      <c r="D48" s="66">
        <v>14</v>
      </c>
    </row>
    <row r="49" spans="1:6" ht="12.45">
      <c r="B49" s="2" t="str">
        <f>Texte!$B$120</f>
        <v>Hôpitaux</v>
      </c>
      <c r="C49" s="66">
        <v>11</v>
      </c>
      <c r="D49" s="66">
        <v>16</v>
      </c>
    </row>
    <row r="50" spans="1:6" ht="12.45">
      <c r="B50" s="2" t="str">
        <f>Texte!$B$121</f>
        <v>Industrie</v>
      </c>
      <c r="C50" s="66">
        <v>11</v>
      </c>
      <c r="D50" s="66">
        <v>14</v>
      </c>
    </row>
    <row r="51" spans="1:6" ht="12.45">
      <c r="B51" s="2" t="str">
        <f>Texte!$B$122</f>
        <v>Ecoles de petite taille</v>
      </c>
      <c r="C51" s="66">
        <v>8</v>
      </c>
      <c r="D51" s="66">
        <v>11.5</v>
      </c>
      <c r="F51" s="5" t="s">
        <v>1806</v>
      </c>
    </row>
    <row r="52" spans="1:6" ht="12.45">
      <c r="B52" s="2" t="str">
        <f>Texte!$B$123</f>
        <v>Installations sportives</v>
      </c>
      <c r="C52" s="66">
        <v>11</v>
      </c>
      <c r="D52" s="66">
        <v>14</v>
      </c>
    </row>
    <row r="53" spans="1:6" ht="12.45">
      <c r="B53" s="2"/>
    </row>
    <row r="54" spans="1:6">
      <c r="A54" s="4" t="s">
        <v>1706</v>
      </c>
      <c r="B54" s="67" t="s">
        <v>23</v>
      </c>
      <c r="C54" s="4" t="s">
        <v>1846</v>
      </c>
      <c r="D54" s="58"/>
    </row>
    <row r="55" spans="1:6">
      <c r="A55" s="5" t="s">
        <v>1681</v>
      </c>
      <c r="B55" s="38" t="s">
        <v>1689</v>
      </c>
      <c r="C55" s="5">
        <v>159.6</v>
      </c>
      <c r="D55" s="5" t="s">
        <v>2325</v>
      </c>
    </row>
    <row r="56" spans="1:6">
      <c r="A56" s="5" t="s">
        <v>1682</v>
      </c>
      <c r="B56" s="38" t="s">
        <v>1690</v>
      </c>
      <c r="C56" s="5">
        <v>83.4</v>
      </c>
      <c r="D56" s="5" t="s">
        <v>2325</v>
      </c>
    </row>
    <row r="57" spans="1:6">
      <c r="A57" s="5" t="s">
        <v>1683</v>
      </c>
      <c r="B57" s="38" t="s">
        <v>1691</v>
      </c>
      <c r="C57" s="5">
        <v>5</v>
      </c>
      <c r="D57" s="5" t="s">
        <v>2326</v>
      </c>
    </row>
    <row r="58" spans="1:6">
      <c r="A58" s="5" t="s">
        <v>1684</v>
      </c>
      <c r="B58" s="38" t="s">
        <v>1692</v>
      </c>
      <c r="C58" s="5">
        <v>3</v>
      </c>
      <c r="D58" s="5" t="s">
        <v>2326</v>
      </c>
    </row>
    <row r="59" spans="1:6">
      <c r="A59" s="5" t="s">
        <v>1685</v>
      </c>
      <c r="B59" s="38" t="s">
        <v>1693</v>
      </c>
      <c r="C59" s="5">
        <v>13.3</v>
      </c>
      <c r="D59" s="5" t="s">
        <v>2327</v>
      </c>
    </row>
    <row r="60" spans="1:6">
      <c r="A60" s="5" t="s">
        <v>1686</v>
      </c>
      <c r="B60" s="38" t="s">
        <v>1694</v>
      </c>
      <c r="C60" s="5">
        <v>5.2</v>
      </c>
      <c r="D60" s="5" t="s">
        <v>2327</v>
      </c>
    </row>
    <row r="61" spans="1:6">
      <c r="A61" s="5" t="s">
        <v>1687</v>
      </c>
      <c r="B61" s="38" t="s">
        <v>1695</v>
      </c>
      <c r="C61" s="5">
        <f>C57*FaktorPE_TH_ECO_N</f>
        <v>0.5</v>
      </c>
      <c r="D61" s="5" t="s">
        <v>2328</v>
      </c>
    </row>
    <row r="62" spans="1:6">
      <c r="A62" s="5" t="s">
        <v>1688</v>
      </c>
      <c r="B62" s="38" t="s">
        <v>1696</v>
      </c>
      <c r="C62" s="5">
        <f>C58*FaktorPE_TH_ECO_N</f>
        <v>0.30000000000000004</v>
      </c>
      <c r="D62" s="5" t="s">
        <v>2328</v>
      </c>
    </row>
    <row r="63" spans="1:6" ht="12.45">
      <c r="B63" s="9"/>
    </row>
    <row r="64" spans="1:6">
      <c r="A64" s="4" t="s">
        <v>1705</v>
      </c>
      <c r="B64" s="67" t="s">
        <v>23</v>
      </c>
      <c r="C64" s="4" t="s">
        <v>1707</v>
      </c>
      <c r="D64" s="58"/>
    </row>
    <row r="65" spans="1:25" ht="12.45">
      <c r="A65" s="5" t="s">
        <v>1697</v>
      </c>
      <c r="B65" s="9" t="s">
        <v>1699</v>
      </c>
      <c r="C65" s="5">
        <v>30</v>
      </c>
    </row>
    <row r="66" spans="1:25" ht="12.45">
      <c r="A66" s="5" t="s">
        <v>1698</v>
      </c>
      <c r="B66" s="9" t="s">
        <v>1700</v>
      </c>
      <c r="C66" s="5">
        <v>50</v>
      </c>
    </row>
    <row r="67" spans="1:25" ht="12.45">
      <c r="A67" s="5" t="s">
        <v>1701</v>
      </c>
      <c r="B67" s="9" t="s">
        <v>1703</v>
      </c>
      <c r="C67" s="66">
        <v>2.8</v>
      </c>
    </row>
    <row r="68" spans="1:25" ht="12.45">
      <c r="A68" s="5" t="s">
        <v>1702</v>
      </c>
      <c r="B68" s="9" t="s">
        <v>1704</v>
      </c>
      <c r="C68" s="66">
        <v>4.7</v>
      </c>
    </row>
    <row r="69" spans="1:25" ht="12.45">
      <c r="B69" s="9"/>
    </row>
    <row r="70" spans="1:25" ht="12.45">
      <c r="A70" s="3"/>
      <c r="B70" s="9"/>
      <c r="C70" s="3" t="s">
        <v>1667</v>
      </c>
      <c r="D70" s="3"/>
      <c r="E70" s="3" t="s">
        <v>1669</v>
      </c>
      <c r="F70" s="3"/>
      <c r="G70" s="3" t="s">
        <v>1670</v>
      </c>
      <c r="H70" s="3"/>
      <c r="I70" s="3" t="s">
        <v>1671</v>
      </c>
      <c r="J70" s="3"/>
      <c r="K70" s="3" t="s">
        <v>1672</v>
      </c>
      <c r="L70" s="3"/>
      <c r="M70" s="3" t="s">
        <v>1673</v>
      </c>
    </row>
    <row r="71" spans="1:25" ht="12.45">
      <c r="A71" s="4" t="s">
        <v>1666</v>
      </c>
      <c r="B71" s="25"/>
      <c r="C71" s="4" t="s">
        <v>152</v>
      </c>
      <c r="D71" s="4" t="s">
        <v>153</v>
      </c>
      <c r="E71" s="4" t="s">
        <v>152</v>
      </c>
      <c r="F71" s="4" t="s">
        <v>153</v>
      </c>
      <c r="G71" s="4" t="s">
        <v>152</v>
      </c>
      <c r="H71" s="4" t="s">
        <v>153</v>
      </c>
      <c r="I71" s="4" t="s">
        <v>152</v>
      </c>
      <c r="J71" s="4" t="s">
        <v>153</v>
      </c>
      <c r="K71" s="4" t="s">
        <v>152</v>
      </c>
      <c r="L71" s="4" t="s">
        <v>153</v>
      </c>
      <c r="M71" s="23" t="s">
        <v>343</v>
      </c>
      <c r="N71" s="4" t="s">
        <v>342</v>
      </c>
      <c r="O71" s="4" t="s">
        <v>248</v>
      </c>
      <c r="P71" s="4" t="s">
        <v>344</v>
      </c>
      <c r="Q71" s="4" t="s">
        <v>345</v>
      </c>
      <c r="R71" s="4" t="s">
        <v>346</v>
      </c>
    </row>
    <row r="72" spans="1:25" ht="13.5" customHeight="1">
      <c r="A72" s="5" t="s">
        <v>1675</v>
      </c>
      <c r="B72" s="9" t="str">
        <f>Texte!B113</f>
        <v>Habitat collectif</v>
      </c>
      <c r="C72" s="5">
        <v>10</v>
      </c>
      <c r="D72" s="5">
        <v>20</v>
      </c>
      <c r="E72" s="5">
        <v>15</v>
      </c>
      <c r="F72" s="5">
        <v>25</v>
      </c>
      <c r="G72" s="5">
        <v>15</v>
      </c>
      <c r="H72" s="5">
        <v>25</v>
      </c>
      <c r="I72" s="5">
        <v>45</v>
      </c>
      <c r="J72" s="5">
        <v>65</v>
      </c>
      <c r="K72" s="5">
        <v>5</v>
      </c>
      <c r="L72" s="5">
        <v>10</v>
      </c>
      <c r="M72" s="9">
        <v>6.5</v>
      </c>
      <c r="N72" s="5">
        <v>5.8</v>
      </c>
      <c r="O72" s="5" t="e">
        <f t="shared" ref="O72:O82" si="0">IF(EnStandard=MEP,FaktorMEP_WE*0.8,0.8)</f>
        <v>#REF!</v>
      </c>
      <c r="P72" s="5">
        <v>4.0999999999999996</v>
      </c>
      <c r="Q72" s="5">
        <v>2.9</v>
      </c>
      <c r="R72" s="5">
        <v>6.7</v>
      </c>
      <c r="S72" s="26"/>
      <c r="T72" s="26"/>
      <c r="U72" s="26"/>
      <c r="V72" s="26"/>
      <c r="W72" s="26"/>
      <c r="X72" s="26"/>
      <c r="Y72" s="26"/>
    </row>
    <row r="73" spans="1:25" ht="12.45">
      <c r="B73" s="9" t="str">
        <f>Texte!B114</f>
        <v>Petit immeuble locatif</v>
      </c>
      <c r="C73" s="5">
        <v>10</v>
      </c>
      <c r="D73" s="5">
        <v>20</v>
      </c>
      <c r="E73" s="5">
        <v>15</v>
      </c>
      <c r="F73" s="5">
        <v>25</v>
      </c>
      <c r="G73" s="5">
        <v>15</v>
      </c>
      <c r="H73" s="5">
        <v>25</v>
      </c>
      <c r="I73" s="5">
        <v>45</v>
      </c>
      <c r="J73" s="5">
        <v>65</v>
      </c>
      <c r="K73" s="5">
        <v>5</v>
      </c>
      <c r="L73" s="5">
        <v>10</v>
      </c>
      <c r="M73" s="9">
        <v>6.5</v>
      </c>
      <c r="N73" s="5">
        <v>5.8</v>
      </c>
      <c r="O73" s="5" t="e">
        <f t="shared" si="0"/>
        <v>#REF!</v>
      </c>
      <c r="P73" s="5">
        <v>4.0999999999999996</v>
      </c>
      <c r="Q73" s="5">
        <v>2.9</v>
      </c>
      <c r="R73" s="5">
        <v>6.7</v>
      </c>
      <c r="S73" s="26"/>
      <c r="T73" s="26"/>
      <c r="U73" s="26"/>
      <c r="V73" s="26"/>
      <c r="W73" s="26"/>
      <c r="X73" s="26"/>
      <c r="Y73" s="26"/>
    </row>
    <row r="74" spans="1:25" ht="12.45">
      <c r="B74" s="9" t="str">
        <f>Texte!B115</f>
        <v>Administration</v>
      </c>
      <c r="C74" s="5">
        <v>15</v>
      </c>
      <c r="D74" s="5">
        <v>25</v>
      </c>
      <c r="E74" s="5">
        <v>20</v>
      </c>
      <c r="F74" s="5">
        <v>30</v>
      </c>
      <c r="G74" s="5">
        <v>15</v>
      </c>
      <c r="H74" s="5">
        <v>25</v>
      </c>
      <c r="I74" s="5">
        <v>45</v>
      </c>
      <c r="J74" s="5">
        <v>65</v>
      </c>
      <c r="K74" s="5">
        <v>5</v>
      </c>
      <c r="L74" s="5">
        <v>10</v>
      </c>
      <c r="M74" s="9">
        <v>13.9</v>
      </c>
      <c r="N74" s="5">
        <v>2.4</v>
      </c>
      <c r="O74" s="5" t="e">
        <f t="shared" si="0"/>
        <v>#REF!</v>
      </c>
      <c r="P74" s="5">
        <v>4.0999999999999996</v>
      </c>
      <c r="Q74" s="5">
        <v>2.9</v>
      </c>
      <c r="R74" s="5">
        <v>13.9</v>
      </c>
      <c r="S74" s="27"/>
      <c r="T74" s="27"/>
      <c r="U74" s="27"/>
      <c r="V74" s="27"/>
      <c r="W74" s="27"/>
      <c r="X74" s="27"/>
      <c r="Y74" s="27"/>
    </row>
    <row r="75" spans="1:25" ht="12.45">
      <c r="B75" s="9" t="str">
        <f>Texte!B116</f>
        <v>Ecoles</v>
      </c>
      <c r="C75" s="5">
        <v>10</v>
      </c>
      <c r="D75" s="5">
        <v>20</v>
      </c>
      <c r="E75" s="5">
        <v>15</v>
      </c>
      <c r="F75" s="5">
        <v>25</v>
      </c>
      <c r="G75" s="5">
        <v>15</v>
      </c>
      <c r="H75" s="5">
        <v>25</v>
      </c>
      <c r="I75" s="5">
        <v>45</v>
      </c>
      <c r="J75" s="5">
        <v>65</v>
      </c>
      <c r="K75" s="5">
        <v>5</v>
      </c>
      <c r="L75" s="5">
        <v>10</v>
      </c>
      <c r="M75" s="9">
        <v>13.9</v>
      </c>
      <c r="N75" s="5">
        <v>5.6</v>
      </c>
      <c r="O75" s="5" t="e">
        <f t="shared" si="0"/>
        <v>#REF!</v>
      </c>
      <c r="P75" s="5">
        <v>4.0999999999999996</v>
      </c>
      <c r="Q75" s="5">
        <v>2.9</v>
      </c>
      <c r="R75" s="5">
        <v>6.7</v>
      </c>
      <c r="S75" s="29"/>
      <c r="T75" s="28"/>
      <c r="U75" s="29"/>
      <c r="V75" s="29"/>
      <c r="W75" s="29"/>
      <c r="X75" s="28"/>
      <c r="Y75" s="28"/>
    </row>
    <row r="76" spans="1:25" ht="12.45">
      <c r="B76" s="9" t="str">
        <f>Texte!B117</f>
        <v>Commerce</v>
      </c>
      <c r="C76" s="5">
        <v>15</v>
      </c>
      <c r="D76" s="5">
        <v>25</v>
      </c>
      <c r="E76" s="5">
        <v>20</v>
      </c>
      <c r="F76" s="5">
        <v>30</v>
      </c>
      <c r="G76" s="5">
        <v>15</v>
      </c>
      <c r="H76" s="5">
        <v>25</v>
      </c>
      <c r="I76" s="5">
        <v>45</v>
      </c>
      <c r="J76" s="5">
        <v>65</v>
      </c>
      <c r="K76" s="5">
        <v>5</v>
      </c>
      <c r="L76" s="5">
        <v>10</v>
      </c>
      <c r="M76" s="9">
        <v>23.4</v>
      </c>
      <c r="N76" s="5">
        <v>5.6</v>
      </c>
      <c r="O76" s="5" t="e">
        <f t="shared" si="0"/>
        <v>#REF!</v>
      </c>
      <c r="P76" s="5">
        <v>4.0999999999999996</v>
      </c>
      <c r="Q76" s="5">
        <v>2.9</v>
      </c>
      <c r="R76" s="5">
        <v>10.3</v>
      </c>
      <c r="S76" s="29"/>
      <c r="T76" s="28"/>
      <c r="U76" s="29"/>
      <c r="V76" s="29"/>
      <c r="W76" s="29"/>
      <c r="X76" s="28"/>
      <c r="Y76" s="28"/>
    </row>
    <row r="77" spans="1:25" ht="12.45">
      <c r="B77" s="9" t="str">
        <f>Texte!B118</f>
        <v>Restauration</v>
      </c>
      <c r="C77" s="5">
        <v>15</v>
      </c>
      <c r="D77" s="5">
        <v>25</v>
      </c>
      <c r="E77" s="5">
        <v>20</v>
      </c>
      <c r="F77" s="5">
        <v>30</v>
      </c>
      <c r="G77" s="5">
        <v>15</v>
      </c>
      <c r="H77" s="5">
        <v>25</v>
      </c>
      <c r="I77" s="5">
        <v>45</v>
      </c>
      <c r="J77" s="5">
        <v>65</v>
      </c>
      <c r="K77" s="5">
        <v>15</v>
      </c>
      <c r="L77" s="5">
        <v>25</v>
      </c>
      <c r="M77" s="9">
        <v>31</v>
      </c>
      <c r="N77" s="5">
        <v>2.4</v>
      </c>
      <c r="O77" s="5" t="e">
        <f t="shared" si="0"/>
        <v>#REF!</v>
      </c>
      <c r="P77" s="5">
        <v>4.0999999999999996</v>
      </c>
      <c r="Q77" s="5">
        <v>2.9</v>
      </c>
      <c r="R77" s="5">
        <v>13.9</v>
      </c>
      <c r="S77" s="29"/>
      <c r="T77" s="28"/>
      <c r="U77" s="29"/>
      <c r="V77" s="29"/>
      <c r="W77" s="29"/>
      <c r="X77" s="28"/>
      <c r="Y77" s="28"/>
    </row>
    <row r="78" spans="1:25" ht="15">
      <c r="B78" s="9" t="str">
        <f>Texte!B119</f>
        <v>Musées</v>
      </c>
      <c r="C78" s="5">
        <v>15</v>
      </c>
      <c r="D78" s="5">
        <v>25</v>
      </c>
      <c r="E78" s="5">
        <v>20</v>
      </c>
      <c r="F78" s="5">
        <v>30</v>
      </c>
      <c r="G78" s="5">
        <v>15</v>
      </c>
      <c r="H78" s="5">
        <v>25</v>
      </c>
      <c r="I78" s="5">
        <v>45</v>
      </c>
      <c r="J78" s="5">
        <v>65</v>
      </c>
      <c r="K78" s="5">
        <v>15</v>
      </c>
      <c r="L78" s="5">
        <v>25</v>
      </c>
      <c r="M78" s="9">
        <v>13.9</v>
      </c>
      <c r="N78" s="5">
        <v>2.4</v>
      </c>
      <c r="O78" s="5" t="e">
        <f t="shared" si="0"/>
        <v>#REF!</v>
      </c>
      <c r="P78" s="5">
        <v>4.0999999999999996</v>
      </c>
      <c r="Q78" s="5">
        <v>2.9</v>
      </c>
      <c r="R78" s="5">
        <v>13.9</v>
      </c>
      <c r="S78" s="30"/>
      <c r="T78" s="28"/>
      <c r="U78" s="30"/>
      <c r="V78" s="30"/>
      <c r="W78" s="30"/>
      <c r="X78" s="28"/>
      <c r="Y78" s="28"/>
    </row>
    <row r="79" spans="1:25" ht="12.45">
      <c r="B79" s="9" t="str">
        <f>Texte!B120</f>
        <v>Hôpitaux</v>
      </c>
      <c r="C79" s="5">
        <v>15</v>
      </c>
      <c r="D79" s="5">
        <v>25</v>
      </c>
      <c r="E79" s="5">
        <v>20</v>
      </c>
      <c r="F79" s="5">
        <v>30</v>
      </c>
      <c r="G79" s="5">
        <v>15</v>
      </c>
      <c r="H79" s="5">
        <v>25</v>
      </c>
      <c r="I79" s="5">
        <v>45</v>
      </c>
      <c r="J79" s="5">
        <v>65</v>
      </c>
      <c r="K79" s="5">
        <v>15</v>
      </c>
      <c r="L79" s="5">
        <v>25</v>
      </c>
      <c r="M79" s="9">
        <v>18.7</v>
      </c>
      <c r="N79" s="5">
        <v>5.6</v>
      </c>
      <c r="O79" s="5" t="e">
        <f t="shared" si="0"/>
        <v>#REF!</v>
      </c>
      <c r="P79" s="5">
        <v>4.0999999999999996</v>
      </c>
      <c r="Q79" s="5">
        <v>2.9</v>
      </c>
      <c r="R79" s="5">
        <v>13.9</v>
      </c>
      <c r="S79" s="32"/>
      <c r="T79" s="32"/>
      <c r="U79" s="32"/>
      <c r="V79" s="32"/>
      <c r="W79" s="32"/>
      <c r="X79" s="32"/>
      <c r="Y79" s="32"/>
    </row>
    <row r="80" spans="1:25" ht="12.45">
      <c r="B80" s="9" t="str">
        <f>Texte!B121</f>
        <v>Industrie</v>
      </c>
      <c r="C80" s="5">
        <v>15</v>
      </c>
      <c r="D80" s="5">
        <v>25</v>
      </c>
      <c r="E80" s="5">
        <v>20</v>
      </c>
      <c r="F80" s="5">
        <v>30</v>
      </c>
      <c r="G80" s="5">
        <v>15</v>
      </c>
      <c r="H80" s="5">
        <v>25</v>
      </c>
      <c r="I80" s="5">
        <v>45</v>
      </c>
      <c r="J80" s="5">
        <v>65</v>
      </c>
      <c r="K80" s="5">
        <v>15</v>
      </c>
      <c r="L80" s="5">
        <v>25</v>
      </c>
      <c r="M80" s="9">
        <v>23.4</v>
      </c>
      <c r="N80" s="5">
        <v>5.6</v>
      </c>
      <c r="O80" s="5" t="e">
        <f t="shared" si="0"/>
        <v>#REF!</v>
      </c>
      <c r="P80" s="5">
        <v>4.0999999999999996</v>
      </c>
      <c r="Q80" s="5">
        <v>2.9</v>
      </c>
      <c r="R80" s="5">
        <v>13.9</v>
      </c>
      <c r="S80" s="29"/>
      <c r="T80" s="29"/>
      <c r="U80" s="29"/>
      <c r="V80" s="29"/>
      <c r="W80" s="29"/>
      <c r="X80" s="29"/>
      <c r="Y80" s="29"/>
    </row>
    <row r="81" spans="1:25" ht="12.45">
      <c r="B81" s="9" t="str">
        <f>Texte!B122</f>
        <v>Ecoles de petite taille</v>
      </c>
      <c r="C81" s="5">
        <v>10</v>
      </c>
      <c r="D81" s="5">
        <v>20</v>
      </c>
      <c r="E81" s="5">
        <v>15</v>
      </c>
      <c r="F81" s="5">
        <v>25</v>
      </c>
      <c r="G81" s="5">
        <v>15</v>
      </c>
      <c r="H81" s="5">
        <v>25</v>
      </c>
      <c r="I81" s="5">
        <v>45</v>
      </c>
      <c r="J81" s="5">
        <v>65</v>
      </c>
      <c r="K81" s="5">
        <v>5</v>
      </c>
      <c r="L81" s="5">
        <v>10</v>
      </c>
      <c r="M81" s="9">
        <v>10.4</v>
      </c>
      <c r="N81" s="9">
        <v>5.6</v>
      </c>
      <c r="O81" s="5" t="e">
        <f t="shared" si="0"/>
        <v>#REF!</v>
      </c>
      <c r="P81" s="5">
        <v>4.0999999999999996</v>
      </c>
      <c r="Q81" s="5">
        <v>2.9</v>
      </c>
      <c r="R81" s="5">
        <v>6.7</v>
      </c>
      <c r="S81" s="31"/>
      <c r="T81" s="31"/>
      <c r="U81" s="31"/>
      <c r="V81" s="31"/>
      <c r="W81" s="31"/>
      <c r="X81" s="32"/>
      <c r="Y81" s="32"/>
    </row>
    <row r="82" spans="1:25" ht="12.45">
      <c r="B82" s="9" t="str">
        <f>Texte!B123</f>
        <v>Installations sportives</v>
      </c>
      <c r="C82" s="5">
        <v>15</v>
      </c>
      <c r="D82" s="5">
        <v>25</v>
      </c>
      <c r="E82" s="5">
        <v>20</v>
      </c>
      <c r="F82" s="5">
        <v>30</v>
      </c>
      <c r="G82" s="5">
        <v>15</v>
      </c>
      <c r="H82" s="5">
        <v>25</v>
      </c>
      <c r="I82" s="5">
        <v>45</v>
      </c>
      <c r="J82" s="5">
        <v>65</v>
      </c>
      <c r="K82" s="5">
        <v>5</v>
      </c>
      <c r="L82" s="5">
        <v>10</v>
      </c>
      <c r="M82" s="9">
        <v>23.4</v>
      </c>
      <c r="N82" s="5">
        <v>5.6</v>
      </c>
      <c r="O82" s="5" t="e">
        <f t="shared" si="0"/>
        <v>#REF!</v>
      </c>
      <c r="P82" s="5">
        <v>4.0999999999999996</v>
      </c>
      <c r="Q82" s="5">
        <v>2.9</v>
      </c>
      <c r="R82" s="5">
        <v>10.3</v>
      </c>
      <c r="S82" s="31"/>
      <c r="T82" s="31"/>
      <c r="U82" s="31"/>
      <c r="V82" s="31"/>
      <c r="W82" s="31"/>
      <c r="X82" s="32"/>
      <c r="Y82" s="32"/>
    </row>
    <row r="83" spans="1:25" ht="12.45">
      <c r="B83" s="9"/>
      <c r="O83" s="31"/>
      <c r="P83" s="31"/>
      <c r="Q83" s="31"/>
      <c r="R83" s="31"/>
      <c r="S83" s="31"/>
      <c r="T83" s="31"/>
      <c r="U83" s="31"/>
      <c r="V83" s="31"/>
      <c r="W83" s="31"/>
      <c r="X83" s="32"/>
      <c r="Y83" s="32"/>
    </row>
    <row r="84" spans="1:25" ht="12.45">
      <c r="A84" s="3"/>
      <c r="B84" s="9"/>
      <c r="C84" s="3" t="s">
        <v>1667</v>
      </c>
      <c r="D84" s="3"/>
      <c r="E84" s="3" t="s">
        <v>1669</v>
      </c>
      <c r="F84" s="3"/>
      <c r="G84" s="3" t="s">
        <v>1670</v>
      </c>
      <c r="H84" s="3"/>
      <c r="I84" s="3" t="s">
        <v>1671</v>
      </c>
      <c r="J84" s="3"/>
      <c r="K84" s="3" t="s">
        <v>1672</v>
      </c>
      <c r="L84" s="3"/>
      <c r="M84" s="3" t="s">
        <v>1673</v>
      </c>
      <c r="S84" s="31"/>
      <c r="T84" s="31"/>
      <c r="U84" s="31"/>
      <c r="V84" s="31"/>
      <c r="W84" s="31"/>
      <c r="X84" s="32"/>
      <c r="Y84" s="32"/>
    </row>
    <row r="85" spans="1:25" ht="12.45">
      <c r="A85" s="4" t="s">
        <v>1674</v>
      </c>
      <c r="B85" s="25"/>
      <c r="C85" s="4" t="s">
        <v>152</v>
      </c>
      <c r="D85" s="4" t="s">
        <v>153</v>
      </c>
      <c r="E85" s="4" t="s">
        <v>152</v>
      </c>
      <c r="F85" s="4" t="s">
        <v>153</v>
      </c>
      <c r="G85" s="4" t="s">
        <v>152</v>
      </c>
      <c r="H85" s="4" t="s">
        <v>153</v>
      </c>
      <c r="I85" s="4" t="s">
        <v>152</v>
      </c>
      <c r="J85" s="4" t="s">
        <v>153</v>
      </c>
      <c r="K85" s="4" t="s">
        <v>152</v>
      </c>
      <c r="L85" s="4" t="s">
        <v>153</v>
      </c>
      <c r="M85" s="23" t="s">
        <v>343</v>
      </c>
      <c r="N85" s="4" t="s">
        <v>342</v>
      </c>
      <c r="O85" s="4" t="s">
        <v>248</v>
      </c>
      <c r="P85" s="4" t="s">
        <v>344</v>
      </c>
      <c r="Q85" s="4" t="s">
        <v>345</v>
      </c>
      <c r="R85" s="4" t="s">
        <v>346</v>
      </c>
      <c r="S85" s="31"/>
      <c r="T85" s="31"/>
      <c r="U85" s="31"/>
      <c r="V85" s="31"/>
      <c r="W85" s="31"/>
      <c r="X85" s="32"/>
      <c r="Y85" s="32"/>
    </row>
    <row r="86" spans="1:25" ht="12.45">
      <c r="A86" s="5" t="s">
        <v>1677</v>
      </c>
      <c r="B86" s="9" t="str">
        <f>B72</f>
        <v>Habitat collectif</v>
      </c>
      <c r="C86" s="5">
        <v>0.78</v>
      </c>
      <c r="D86" s="5">
        <v>1.57</v>
      </c>
      <c r="E86" s="5">
        <v>1.18</v>
      </c>
      <c r="F86" s="5">
        <v>1.93</v>
      </c>
      <c r="G86" s="5">
        <v>1.43</v>
      </c>
      <c r="H86" s="5">
        <v>2.35</v>
      </c>
      <c r="I86" s="5">
        <v>3</v>
      </c>
      <c r="J86" s="5">
        <v>4.34</v>
      </c>
      <c r="K86" s="5">
        <v>0.39</v>
      </c>
      <c r="L86" s="5">
        <v>0.78</v>
      </c>
      <c r="M86" s="5">
        <v>0.41</v>
      </c>
      <c r="N86" s="5">
        <v>0.38</v>
      </c>
      <c r="O86" s="5">
        <v>0.04</v>
      </c>
      <c r="P86" s="5">
        <v>0.25</v>
      </c>
      <c r="Q86" s="5">
        <v>0.18</v>
      </c>
      <c r="R86" s="5">
        <v>0.42</v>
      </c>
      <c r="S86" s="31"/>
      <c r="T86" s="31"/>
      <c r="U86" s="31"/>
      <c r="V86" s="31"/>
      <c r="W86" s="31"/>
      <c r="X86" s="32"/>
      <c r="Y86" s="32"/>
    </row>
    <row r="87" spans="1:25" ht="12.45">
      <c r="B87" s="9" t="str">
        <f t="shared" ref="B87:B96" si="1">B73</f>
        <v>Petit immeuble locatif</v>
      </c>
      <c r="C87" s="5">
        <v>0.78</v>
      </c>
      <c r="D87" s="5">
        <v>1.57</v>
      </c>
      <c r="E87" s="5">
        <v>1.18</v>
      </c>
      <c r="F87" s="5">
        <v>1.93</v>
      </c>
      <c r="G87" s="5">
        <v>1.43</v>
      </c>
      <c r="H87" s="5">
        <v>2.35</v>
      </c>
      <c r="I87" s="5">
        <v>3</v>
      </c>
      <c r="J87" s="5">
        <v>4.34</v>
      </c>
      <c r="K87" s="5">
        <v>0.39</v>
      </c>
      <c r="L87" s="5">
        <v>0.78</v>
      </c>
      <c r="M87" s="5">
        <v>0.41</v>
      </c>
      <c r="N87" s="5">
        <v>0.38</v>
      </c>
      <c r="O87" s="5">
        <v>0.04</v>
      </c>
      <c r="P87" s="5">
        <v>0.25</v>
      </c>
      <c r="Q87" s="5">
        <v>0.18</v>
      </c>
      <c r="R87" s="5">
        <v>0.42</v>
      </c>
      <c r="S87" s="31"/>
      <c r="T87" s="31"/>
      <c r="U87" s="31"/>
      <c r="V87" s="31"/>
      <c r="W87" s="31"/>
      <c r="X87" s="32"/>
      <c r="Y87" s="32"/>
    </row>
    <row r="88" spans="1:25" ht="12.45">
      <c r="B88" s="9" t="str">
        <f t="shared" si="1"/>
        <v>Administration</v>
      </c>
      <c r="C88" s="5">
        <v>1.18</v>
      </c>
      <c r="D88" s="5">
        <v>1.93</v>
      </c>
      <c r="E88" s="5">
        <v>1.57</v>
      </c>
      <c r="F88" s="5">
        <v>2.3199999999999998</v>
      </c>
      <c r="G88" s="5">
        <v>1.43</v>
      </c>
      <c r="H88" s="5">
        <v>2.35</v>
      </c>
      <c r="I88" s="5">
        <v>3</v>
      </c>
      <c r="J88" s="5">
        <v>4.34</v>
      </c>
      <c r="K88" s="5">
        <v>0.39</v>
      </c>
      <c r="L88" s="5">
        <v>0.78</v>
      </c>
      <c r="M88" s="5">
        <v>0.9</v>
      </c>
      <c r="N88" s="5">
        <v>0.17</v>
      </c>
      <c r="O88" s="5">
        <v>0.04</v>
      </c>
      <c r="P88" s="5">
        <v>0.25</v>
      </c>
      <c r="Q88" s="5">
        <v>0.18</v>
      </c>
      <c r="R88" s="5">
        <v>0.86</v>
      </c>
      <c r="S88" s="31"/>
      <c r="T88" s="31"/>
      <c r="U88" s="31"/>
      <c r="V88" s="31"/>
      <c r="W88" s="31"/>
      <c r="X88" s="32"/>
      <c r="Y88" s="32"/>
    </row>
    <row r="89" spans="1:25" ht="12.45">
      <c r="B89" s="9" t="str">
        <f t="shared" si="1"/>
        <v>Ecoles</v>
      </c>
      <c r="C89" s="5">
        <v>0.78</v>
      </c>
      <c r="D89" s="5">
        <v>1.57</v>
      </c>
      <c r="E89" s="5">
        <v>1.18</v>
      </c>
      <c r="F89" s="5">
        <v>1.93</v>
      </c>
      <c r="G89" s="5">
        <v>1.43</v>
      </c>
      <c r="H89" s="5">
        <v>2.35</v>
      </c>
      <c r="I89" s="5">
        <v>3</v>
      </c>
      <c r="J89" s="5">
        <v>4.34</v>
      </c>
      <c r="K89" s="5">
        <v>0.39</v>
      </c>
      <c r="L89" s="5">
        <v>0.78</v>
      </c>
      <c r="M89" s="5">
        <v>0.9</v>
      </c>
      <c r="N89" s="5">
        <v>0.38</v>
      </c>
      <c r="O89" s="5">
        <v>0.04</v>
      </c>
      <c r="P89" s="5">
        <v>0.25</v>
      </c>
      <c r="Q89" s="5">
        <v>0.18</v>
      </c>
      <c r="R89" s="5">
        <v>0.42</v>
      </c>
      <c r="S89" s="31"/>
      <c r="T89" s="31"/>
      <c r="U89" s="31"/>
      <c r="V89" s="31"/>
      <c r="W89" s="31"/>
      <c r="X89" s="32"/>
      <c r="Y89" s="32"/>
    </row>
    <row r="90" spans="1:25" ht="12.45">
      <c r="B90" s="9" t="str">
        <f t="shared" si="1"/>
        <v>Commerce</v>
      </c>
      <c r="C90" s="5">
        <v>1.18</v>
      </c>
      <c r="D90" s="5">
        <v>1.93</v>
      </c>
      <c r="E90" s="5">
        <v>1.57</v>
      </c>
      <c r="F90" s="5">
        <v>2.3199999999999998</v>
      </c>
      <c r="G90" s="5">
        <v>1.43</v>
      </c>
      <c r="H90" s="5">
        <v>2.35</v>
      </c>
      <c r="I90" s="5">
        <v>3</v>
      </c>
      <c r="J90" s="5">
        <v>4.34</v>
      </c>
      <c r="K90" s="5">
        <v>0.39</v>
      </c>
      <c r="L90" s="5">
        <v>0.78</v>
      </c>
      <c r="M90" s="5">
        <v>1.5</v>
      </c>
      <c r="N90" s="5">
        <v>0.38</v>
      </c>
      <c r="O90" s="5">
        <v>0.04</v>
      </c>
      <c r="P90" s="5">
        <v>0.25</v>
      </c>
      <c r="Q90" s="5">
        <v>0.18</v>
      </c>
      <c r="R90" s="5">
        <v>0.64</v>
      </c>
      <c r="S90" s="31"/>
      <c r="T90" s="31"/>
      <c r="U90" s="31"/>
      <c r="V90" s="31"/>
      <c r="W90" s="31"/>
      <c r="X90" s="32"/>
      <c r="Y90" s="32"/>
    </row>
    <row r="91" spans="1:25" ht="12.45">
      <c r="B91" s="9" t="str">
        <f t="shared" si="1"/>
        <v>Restauration</v>
      </c>
      <c r="C91" s="5">
        <v>1.18</v>
      </c>
      <c r="D91" s="5">
        <v>1.93</v>
      </c>
      <c r="E91" s="5">
        <v>1.57</v>
      </c>
      <c r="F91" s="5">
        <v>2.3199999999999998</v>
      </c>
      <c r="G91" s="5">
        <v>1.43</v>
      </c>
      <c r="H91" s="5">
        <v>2.35</v>
      </c>
      <c r="I91" s="5">
        <v>3</v>
      </c>
      <c r="J91" s="5">
        <v>4.34</v>
      </c>
      <c r="K91" s="5">
        <v>1.18</v>
      </c>
      <c r="L91" s="5">
        <v>1.93</v>
      </c>
      <c r="M91" s="5">
        <v>1.98</v>
      </c>
      <c r="N91" s="5">
        <v>0.17</v>
      </c>
      <c r="O91" s="5">
        <v>0.04</v>
      </c>
      <c r="P91" s="5">
        <v>0.25</v>
      </c>
      <c r="Q91" s="5">
        <v>0.18</v>
      </c>
      <c r="R91" s="5">
        <v>0.86</v>
      </c>
      <c r="S91" s="31"/>
      <c r="T91" s="31"/>
      <c r="U91" s="31"/>
      <c r="V91" s="31"/>
      <c r="W91" s="31"/>
      <c r="X91" s="32"/>
      <c r="Y91" s="32"/>
    </row>
    <row r="92" spans="1:25" ht="12.45">
      <c r="B92" s="9" t="str">
        <f t="shared" si="1"/>
        <v>Musées</v>
      </c>
      <c r="C92" s="5">
        <v>1.18</v>
      </c>
      <c r="D92" s="5">
        <v>1.93</v>
      </c>
      <c r="E92" s="5">
        <v>1.57</v>
      </c>
      <c r="F92" s="5">
        <v>2.3199999999999998</v>
      </c>
      <c r="G92" s="5">
        <v>1.43</v>
      </c>
      <c r="H92" s="5">
        <v>2.35</v>
      </c>
      <c r="I92" s="5">
        <v>3</v>
      </c>
      <c r="J92" s="5">
        <v>4.34</v>
      </c>
      <c r="K92" s="5">
        <v>1.18</v>
      </c>
      <c r="L92" s="5">
        <v>1.93</v>
      </c>
      <c r="M92" s="5">
        <v>0.9</v>
      </c>
      <c r="N92" s="5">
        <v>0.17</v>
      </c>
      <c r="O92" s="5">
        <v>0.04</v>
      </c>
      <c r="P92" s="5">
        <v>0.25</v>
      </c>
      <c r="Q92" s="5">
        <v>0.18</v>
      </c>
      <c r="R92" s="5">
        <v>0.86</v>
      </c>
      <c r="S92" s="31"/>
      <c r="T92" s="31"/>
      <c r="U92" s="31"/>
      <c r="V92" s="31"/>
      <c r="W92" s="31"/>
      <c r="X92" s="32"/>
      <c r="Y92" s="32"/>
    </row>
    <row r="93" spans="1:25" ht="12.45">
      <c r="B93" s="9" t="str">
        <f t="shared" si="1"/>
        <v>Hôpitaux</v>
      </c>
      <c r="C93" s="5">
        <v>1.18</v>
      </c>
      <c r="D93" s="5">
        <v>1.93</v>
      </c>
      <c r="E93" s="5">
        <v>1.57</v>
      </c>
      <c r="F93" s="5">
        <v>2.3199999999999998</v>
      </c>
      <c r="G93" s="5">
        <v>1.43</v>
      </c>
      <c r="H93" s="5">
        <v>2.35</v>
      </c>
      <c r="I93" s="5">
        <v>3</v>
      </c>
      <c r="J93" s="5">
        <v>4.34</v>
      </c>
      <c r="K93" s="5">
        <v>1.18</v>
      </c>
      <c r="L93" s="5">
        <v>1.93</v>
      </c>
      <c r="M93" s="5">
        <v>1.2</v>
      </c>
      <c r="N93" s="5">
        <v>0.38</v>
      </c>
      <c r="O93" s="5">
        <v>0.04</v>
      </c>
      <c r="P93" s="5">
        <v>0.25</v>
      </c>
      <c r="Q93" s="5">
        <v>0.18</v>
      </c>
      <c r="R93" s="5">
        <v>0.86</v>
      </c>
      <c r="S93" s="31"/>
      <c r="T93" s="31"/>
      <c r="U93" s="31"/>
      <c r="V93" s="31"/>
      <c r="W93" s="31"/>
      <c r="X93" s="32"/>
      <c r="Y93" s="32"/>
    </row>
    <row r="94" spans="1:25" ht="12.45">
      <c r="B94" s="9" t="str">
        <f t="shared" si="1"/>
        <v>Industrie</v>
      </c>
      <c r="C94" s="5">
        <v>1.18</v>
      </c>
      <c r="D94" s="5">
        <v>1.93</v>
      </c>
      <c r="E94" s="5">
        <v>1.57</v>
      </c>
      <c r="F94" s="5">
        <v>2.3199999999999998</v>
      </c>
      <c r="G94" s="5">
        <v>1.43</v>
      </c>
      <c r="H94" s="5">
        <v>2.35</v>
      </c>
      <c r="I94" s="5">
        <v>3</v>
      </c>
      <c r="J94" s="5">
        <v>4.34</v>
      </c>
      <c r="K94" s="5">
        <v>1.18</v>
      </c>
      <c r="L94" s="5">
        <v>1.93</v>
      </c>
      <c r="M94" s="5">
        <v>1.5</v>
      </c>
      <c r="N94" s="5">
        <v>0.38</v>
      </c>
      <c r="O94" s="5">
        <v>0.04</v>
      </c>
      <c r="P94" s="5">
        <v>0.25</v>
      </c>
      <c r="Q94" s="5">
        <v>0.18</v>
      </c>
      <c r="R94" s="5">
        <v>0.86</v>
      </c>
      <c r="S94" s="31"/>
      <c r="T94" s="31"/>
      <c r="U94" s="31"/>
      <c r="V94" s="31"/>
      <c r="W94" s="31"/>
      <c r="X94" s="32"/>
      <c r="Y94" s="32"/>
    </row>
    <row r="95" spans="1:25" ht="12.45">
      <c r="B95" s="9" t="str">
        <f t="shared" si="1"/>
        <v>Ecoles de petite taille</v>
      </c>
      <c r="C95" s="5">
        <v>0.78</v>
      </c>
      <c r="D95" s="5">
        <v>1.57</v>
      </c>
      <c r="E95" s="5">
        <v>1.18</v>
      </c>
      <c r="F95" s="5">
        <v>1.93</v>
      </c>
      <c r="G95" s="5">
        <v>1.43</v>
      </c>
      <c r="H95" s="5">
        <v>2.35</v>
      </c>
      <c r="I95" s="5">
        <v>3</v>
      </c>
      <c r="J95" s="5">
        <v>4.34</v>
      </c>
      <c r="K95" s="5">
        <v>0.39</v>
      </c>
      <c r="L95" s="5">
        <v>0.78</v>
      </c>
      <c r="M95" s="5">
        <v>0.67</v>
      </c>
      <c r="N95" s="5">
        <v>0.38</v>
      </c>
      <c r="O95" s="5">
        <v>0.04</v>
      </c>
      <c r="P95" s="5">
        <v>0.25</v>
      </c>
      <c r="Q95" s="5">
        <v>0.18</v>
      </c>
      <c r="R95" s="5">
        <v>0.42</v>
      </c>
      <c r="S95" s="31"/>
      <c r="T95" s="31"/>
      <c r="U95" s="31"/>
      <c r="V95" s="31"/>
      <c r="W95" s="31"/>
      <c r="X95" s="32"/>
      <c r="Y95" s="32"/>
    </row>
    <row r="96" spans="1:25" ht="12.45">
      <c r="B96" s="9" t="str">
        <f t="shared" si="1"/>
        <v>Installations sportives</v>
      </c>
      <c r="C96" s="5">
        <v>1.18</v>
      </c>
      <c r="D96" s="5">
        <v>1.93</v>
      </c>
      <c r="E96" s="5">
        <v>1.57</v>
      </c>
      <c r="F96" s="5">
        <v>2.3199999999999998</v>
      </c>
      <c r="G96" s="5">
        <v>1.43</v>
      </c>
      <c r="H96" s="5">
        <v>2.35</v>
      </c>
      <c r="I96" s="5">
        <v>3</v>
      </c>
      <c r="J96" s="5">
        <v>4.34</v>
      </c>
      <c r="K96" s="5">
        <v>0.39</v>
      </c>
      <c r="L96" s="5">
        <v>0.78</v>
      </c>
      <c r="M96" s="5">
        <v>1.5</v>
      </c>
      <c r="N96" s="5">
        <v>0.38</v>
      </c>
      <c r="O96" s="5">
        <v>0.04</v>
      </c>
      <c r="P96" s="5">
        <v>0.25</v>
      </c>
      <c r="Q96" s="5">
        <v>0.18</v>
      </c>
      <c r="R96" s="5">
        <v>0.64</v>
      </c>
      <c r="S96" s="31"/>
      <c r="T96" s="31"/>
      <c r="U96" s="31"/>
      <c r="V96" s="31"/>
      <c r="W96" s="31"/>
      <c r="X96" s="32"/>
      <c r="Y96" s="32"/>
    </row>
    <row r="97" spans="1:25" ht="12.45">
      <c r="B97" s="9"/>
      <c r="O97" s="31"/>
      <c r="P97" s="31"/>
      <c r="Q97" s="31"/>
      <c r="R97" s="31"/>
      <c r="S97" s="31"/>
      <c r="T97" s="31"/>
      <c r="U97" s="31"/>
      <c r="V97" s="31"/>
      <c r="W97" s="31"/>
      <c r="X97" s="32"/>
      <c r="Y97" s="32"/>
    </row>
    <row r="98" spans="1:25" ht="12.45">
      <c r="A98" s="4" t="s">
        <v>1708</v>
      </c>
      <c r="B98" s="25"/>
      <c r="C98" s="58"/>
      <c r="O98" s="31"/>
      <c r="P98" s="31"/>
      <c r="Q98" s="31"/>
      <c r="R98" s="31"/>
      <c r="S98" s="31"/>
      <c r="T98" s="31"/>
      <c r="U98" s="31"/>
      <c r="V98" s="31"/>
      <c r="W98" s="31"/>
      <c r="X98" s="32"/>
      <c r="Y98" s="32"/>
    </row>
    <row r="99" spans="1:25">
      <c r="A99" s="5" t="s">
        <v>1709</v>
      </c>
      <c r="B99" s="5" t="s">
        <v>1710</v>
      </c>
      <c r="C99" s="38">
        <v>1.2</v>
      </c>
    </row>
    <row r="100" spans="1:25">
      <c r="A100" s="5" t="s">
        <v>1712</v>
      </c>
      <c r="B100" s="5" t="s">
        <v>1711</v>
      </c>
      <c r="C100" s="69">
        <f>ROUND(1/1.4,2)</f>
        <v>0.71</v>
      </c>
    </row>
    <row r="101" spans="1:25">
      <c r="A101" s="5" t="s">
        <v>1713</v>
      </c>
      <c r="B101" s="5" t="s">
        <v>1716</v>
      </c>
      <c r="C101" s="37" t="e">
        <f>IF(Typ=NewConstruction,3.6*0.0815,3.6*0.0682)</f>
        <v>#REF!</v>
      </c>
    </row>
    <row r="102" spans="1:25">
      <c r="A102" s="5" t="s">
        <v>1714</v>
      </c>
      <c r="B102" s="5" t="s">
        <v>1717</v>
      </c>
      <c r="C102" s="37">
        <v>0.1</v>
      </c>
    </row>
    <row r="103" spans="1:25">
      <c r="A103" s="5" t="s">
        <v>1715</v>
      </c>
      <c r="B103" s="5" t="s">
        <v>1718</v>
      </c>
      <c r="C103" s="37">
        <v>7.0000000000000007E-2</v>
      </c>
    </row>
    <row r="104" spans="1:25">
      <c r="A104" s="5" t="s">
        <v>1731</v>
      </c>
      <c r="B104" s="5" t="s">
        <v>1732</v>
      </c>
      <c r="C104" s="5" t="e">
        <f>ROUND(IF(EnStandard=MEP,30/35*FaktorMEP_WE,30/35),2)</f>
        <v>#REF!</v>
      </c>
    </row>
    <row r="105" spans="1:25" ht="12.45">
      <c r="B105" s="9"/>
    </row>
    <row r="106" spans="1:25" ht="12.45">
      <c r="B106" s="9"/>
    </row>
    <row r="107" spans="1:25" ht="12.45">
      <c r="B107" s="2"/>
    </row>
    <row r="108" spans="1:25">
      <c r="A108" s="4" t="s">
        <v>307</v>
      </c>
      <c r="B108" s="67" t="s">
        <v>140</v>
      </c>
      <c r="C108" s="4" t="str">
        <f>SNBS_Note&amp;" 1"</f>
        <v>Note 1</v>
      </c>
      <c r="D108" s="4" t="str">
        <f>SNBS_Note&amp;" 2"</f>
        <v>Note 2</v>
      </c>
      <c r="E108" s="4" t="str">
        <f>SNBS_Note&amp;" 3"</f>
        <v>Note 3</v>
      </c>
      <c r="F108" s="4" t="str">
        <f>SNBS_Note&amp;" 4"</f>
        <v>Note 4</v>
      </c>
      <c r="G108" s="4" t="str">
        <f>SNBS_Note&amp;" 5"</f>
        <v>Note 5</v>
      </c>
      <c r="H108" s="4" t="str">
        <f>SNBS_Note&amp;" 6"</f>
        <v>Note 6</v>
      </c>
      <c r="J108" s="5" t="e" cm="1">
        <f t="array" ref="J108">INDEX(SNBSnoten,1,MATCH(SumPE,C109:H109,-1)+1)</f>
        <v>#REF!</v>
      </c>
    </row>
    <row r="109" spans="1:25" ht="12.45">
      <c r="B109" s="9" t="str">
        <f>Texte!B125</f>
        <v>Administration</v>
      </c>
      <c r="C109" s="5" t="e">
        <f>ROUND(1.4*IF(Typ=NewConstruction,EcoGW2_N,EcoGW2_M),1)</f>
        <v>#REF!</v>
      </c>
      <c r="D109" s="5" t="e">
        <f>ROUND(1.2*IF(Typ=NewConstruction,EcoGW2_N,EcoGW2_M),1)</f>
        <v>#REF!</v>
      </c>
      <c r="E109" s="5" t="e">
        <f>IF(Typ=NewConstruction,EcoGW2_N,EcoGW2_M)</f>
        <v>#REF!</v>
      </c>
      <c r="F109" s="5" t="e">
        <f>ROUND(IF(Typ=NewConstruction,EcoGW2_N,EcoGW2_M)-0.5*(IF(Typ=NewConstruction,EcoGW2_N,EcoGW2_M)-IF(Typ=NewConstruction,EcoGW1_N,EcoGW1_M)),1)</f>
        <v>#REF!</v>
      </c>
      <c r="G109" s="5" t="e">
        <f>IF(Typ=NewConstruction,EcoGW1_N,EcoGW1_M)</f>
        <v>#REF!</v>
      </c>
      <c r="H109" s="5">
        <v>0</v>
      </c>
    </row>
    <row r="110" spans="1:25" ht="12.45">
      <c r="B110" s="9" t="str">
        <f>Texte!B126</f>
        <v>Ecoles</v>
      </c>
      <c r="C110" s="5" t="e">
        <f>ROUND(1.4*IF(Typ=NewConstruction,EcoGW2_N,EcoGW2_M),1)</f>
        <v>#REF!</v>
      </c>
      <c r="D110" s="5" t="e">
        <f>ROUND(1.2*IF(Typ=NewConstruction,EcoGW2_N,EcoGW2_M),1)</f>
        <v>#REF!</v>
      </c>
      <c r="E110" s="5" t="e">
        <f>IF(Typ=NewConstruction,EcoGW2_N,EcoGW2_M)</f>
        <v>#REF!</v>
      </c>
      <c r="F110" s="5" t="e">
        <f>ROUND(IF(Typ=NewConstruction,EcoGW2_N,EcoGW2_M)-0.5*(IF(Typ=NewConstruction,EcoGW2_N,EcoGW2_M)-IF(Typ=NewConstruction,EcoGW1_N,EcoGW1_M)),1)</f>
        <v>#REF!</v>
      </c>
      <c r="G110" s="5" t="e">
        <f>IF(Typ=NewConstruction,EcoGW1_N,EcoGW1_M)</f>
        <v>#REF!</v>
      </c>
      <c r="H110" s="5">
        <v>0</v>
      </c>
    </row>
    <row r="111" spans="1:25" ht="12.45">
      <c r="B111" s="9" t="str">
        <f>Texte!B127</f>
        <v>Habitat collectif</v>
      </c>
      <c r="C111" s="5" t="e">
        <f>ROUND(1.4*IF(Typ=NewConstruction,EcoGW2_N,EcoGW2_M),1)</f>
        <v>#REF!</v>
      </c>
      <c r="D111" s="5" t="e">
        <f>ROUND(1.2*IF(Typ=NewConstruction,EcoGW2_N,EcoGW2_M),1)</f>
        <v>#REF!</v>
      </c>
      <c r="E111" s="5" t="e">
        <f>IF(Typ=NewConstruction,EcoGW2_N,EcoGW2_M)</f>
        <v>#REF!</v>
      </c>
      <c r="F111" s="5" t="e">
        <f>ROUND(IF(Typ=NewConstruction,EcoGW2_N,EcoGW2_M)-0.5*(IF(Typ=NewConstruction,EcoGW2_N,EcoGW2_M)-IF(Typ=NewConstruction,EcoGW1_N,EcoGW1_M)),1)</f>
        <v>#REF!</v>
      </c>
      <c r="G111" s="5" t="e">
        <f>IF(Typ=NewConstruction,EcoGW1_N,EcoGW1_M)</f>
        <v>#REF!</v>
      </c>
      <c r="H111" s="5">
        <v>0</v>
      </c>
    </row>
    <row r="112" spans="1:25" ht="12.45">
      <c r="B112" s="2"/>
    </row>
    <row r="113" spans="1:10">
      <c r="A113" s="4" t="s">
        <v>308</v>
      </c>
      <c r="B113" s="67" t="s">
        <v>140</v>
      </c>
      <c r="C113" s="4" t="str">
        <f>SNBS_Note&amp;" 1"</f>
        <v>Note 1</v>
      </c>
      <c r="D113" s="4" t="str">
        <f>SNBS_Note&amp;" 2"</f>
        <v>Note 2</v>
      </c>
      <c r="E113" s="4" t="str">
        <f>SNBS_Note&amp;" 3"</f>
        <v>Note 3</v>
      </c>
      <c r="F113" s="4" t="str">
        <f>SNBS_Note&amp;" 4"</f>
        <v>Note 4</v>
      </c>
      <c r="G113" s="4" t="str">
        <f>SNBS_Note&amp;" 5"</f>
        <v>Note 5</v>
      </c>
      <c r="H113" s="4" t="str">
        <f>SNBS_Note&amp;" 6"</f>
        <v>Note 6</v>
      </c>
      <c r="J113" s="5" t="e" cm="1">
        <f t="array" ref="J113">INDEX(SNBSnoten,1,MATCH(SumTHGE,C114:H114,-1)+1)</f>
        <v>#REF!</v>
      </c>
    </row>
    <row r="114" spans="1:10" ht="12.45">
      <c r="B114" s="9" t="str">
        <f>Texte!B125</f>
        <v>Administration</v>
      </c>
      <c r="C114" s="5" t="e">
        <f>ROUND(1.4*IF(Typ=NewConstruction,EcoGWTH2_N,EcoGWTH2_M),1)</f>
        <v>#REF!</v>
      </c>
      <c r="D114" s="5" t="e">
        <f>ROUND(1.2*IF(Typ=NewConstruction,EcoGWTH2_N,EcoGWTH2_M),1)</f>
        <v>#REF!</v>
      </c>
      <c r="E114" s="5" t="e">
        <f>IF(Typ=NewConstruction,EcoGWTH2_N,EcoGWTH2_M)</f>
        <v>#REF!</v>
      </c>
      <c r="F114" s="5" t="e">
        <f>ROUND(IF(Typ=NewConstruction,EcoGWTH2_N,EcoGWTH2_M)-0.5*(IF(Typ=NewConstruction,EcoGWTH2_N,EcoGWTH2_M)-IF(Typ=NewConstruction,EcoGWTH1_N,EcoGWTH1_M)),1)</f>
        <v>#REF!</v>
      </c>
      <c r="G114" s="5" t="e">
        <f>IF(Typ=NewConstruction,EcoGWTH1_N,EcoGWTH1_M)</f>
        <v>#REF!</v>
      </c>
      <c r="H114" s="5">
        <v>0</v>
      </c>
    </row>
    <row r="115" spans="1:10" ht="12.45">
      <c r="B115" s="9" t="str">
        <f>Texte!B126</f>
        <v>Ecoles</v>
      </c>
      <c r="C115" s="5" t="e">
        <f>ROUND(1.4*IF(Typ=NewConstruction,EcoGWTH2_N,EcoGWTH2_M),1)</f>
        <v>#REF!</v>
      </c>
      <c r="D115" s="5" t="e">
        <f>ROUND(1.2*IF(Typ=NewConstruction,EcoGWTH2_N,EcoGWTH2_M),1)</f>
        <v>#REF!</v>
      </c>
      <c r="E115" s="5" t="e">
        <f>IF(Typ=NewConstruction,EcoGWTH2_N,EcoGWTH2_M)</f>
        <v>#REF!</v>
      </c>
      <c r="F115" s="5" t="e">
        <f>ROUND(IF(Typ=NewConstruction,EcoGWTH2_N,EcoGWTH2_M)-0.5*(IF(Typ=NewConstruction,EcoGWTH2_N,EcoGWTH2_M)-IF(Typ=NewConstruction,EcoGWTH1_N,EcoGWTH1_M)),1)</f>
        <v>#REF!</v>
      </c>
      <c r="G115" s="5" t="e">
        <f>IF(Typ=NewConstruction,EcoGWTH1_N,EcoGWTH1_M)</f>
        <v>#REF!</v>
      </c>
      <c r="H115" s="5">
        <v>0</v>
      </c>
    </row>
    <row r="116" spans="1:10" ht="12.45">
      <c r="B116" s="9" t="str">
        <f>Texte!B127</f>
        <v>Habitat collectif</v>
      </c>
      <c r="C116" s="5" t="e">
        <f>ROUND(1.4*IF(Typ=NewConstruction,EcoGWTH2_N,EcoGWTH2_M),1)</f>
        <v>#REF!</v>
      </c>
      <c r="D116" s="5" t="e">
        <f>ROUND(1.2*IF(Typ=NewConstruction,EcoGWTH2_N,EcoGWTH2_M),1)</f>
        <v>#REF!</v>
      </c>
      <c r="E116" s="5" t="e">
        <f>IF(Typ=NewConstruction,EcoGWTH2_N,EcoGWTH2_M)</f>
        <v>#REF!</v>
      </c>
      <c r="F116" s="5" t="e">
        <f>ROUND(IF(Typ=NewConstruction,EcoGWTH2_N,EcoGWTH2_M)-0.5*(IF(Typ=NewConstruction,EcoGWTH2_N,EcoGWTH2_M)-IF(Typ=NewConstruction,EcoGWTH1_N,EcoGWTH1_M)),1)</f>
        <v>#REF!</v>
      </c>
      <c r="G116" s="5" t="e">
        <f>IF(Typ=NewConstruction,EcoGWTH1_N,EcoGWTH1_M)</f>
        <v>#REF!</v>
      </c>
      <c r="H116" s="5">
        <v>0</v>
      </c>
    </row>
    <row r="118" spans="1:10">
      <c r="A118" s="4" t="s">
        <v>309</v>
      </c>
      <c r="B118" s="67" t="s">
        <v>140</v>
      </c>
      <c r="C118" s="4" t="s">
        <v>351</v>
      </c>
      <c r="D118" s="4" t="s">
        <v>352</v>
      </c>
    </row>
    <row r="119" spans="1:10">
      <c r="B119" s="5" t="str">
        <f>Texte!B129</f>
        <v>Habitat</v>
      </c>
      <c r="C119" s="5">
        <v>30</v>
      </c>
      <c r="D119" s="5">
        <v>20</v>
      </c>
    </row>
    <row r="120" spans="1:10">
      <c r="B120" s="5" t="str">
        <f>Texte!B130</f>
        <v>Administration</v>
      </c>
      <c r="C120" s="5">
        <v>40</v>
      </c>
      <c r="D120" s="5">
        <v>20</v>
      </c>
    </row>
    <row r="121" spans="1:10">
      <c r="B121" s="5" t="str">
        <f>Texte!B131</f>
        <v>Ecoles</v>
      </c>
      <c r="C121" s="5">
        <v>30</v>
      </c>
      <c r="D121" s="5">
        <v>20</v>
      </c>
    </row>
    <row r="122" spans="1:10">
      <c r="B122" s="5" t="str">
        <f>Texte!B132</f>
        <v>Magasin spécialisé</v>
      </c>
      <c r="C122" s="5">
        <v>40</v>
      </c>
      <c r="D122" s="5">
        <v>20</v>
      </c>
    </row>
    <row r="123" spans="1:10">
      <c r="B123" s="5" t="str">
        <f>Texte!B133</f>
        <v>Magasin d'alimentation</v>
      </c>
      <c r="C123" s="5">
        <v>40</v>
      </c>
      <c r="D123" s="5">
        <v>20</v>
      </c>
    </row>
    <row r="124" spans="1:10">
      <c r="B124" s="5" t="str">
        <f>Texte!B134</f>
        <v>Restauration</v>
      </c>
      <c r="C124" s="5">
        <v>40</v>
      </c>
      <c r="D124" s="5">
        <v>20</v>
      </c>
    </row>
    <row r="126" spans="1:10">
      <c r="A126" s="4" t="s">
        <v>312</v>
      </c>
      <c r="B126" s="67" t="s">
        <v>140</v>
      </c>
      <c r="C126" s="4" t="s">
        <v>351</v>
      </c>
      <c r="D126" s="4" t="s">
        <v>352</v>
      </c>
    </row>
    <row r="127" spans="1:10">
      <c r="B127" s="5" t="str">
        <f>Texte!B129</f>
        <v>Habitat</v>
      </c>
      <c r="C127" s="5">
        <v>9</v>
      </c>
      <c r="D127" s="5">
        <v>5</v>
      </c>
    </row>
    <row r="128" spans="1:10">
      <c r="B128" s="5" t="str">
        <f>Texte!B130</f>
        <v>Administration</v>
      </c>
      <c r="C128" s="5">
        <v>9</v>
      </c>
      <c r="D128" s="5">
        <v>6</v>
      </c>
    </row>
    <row r="129" spans="1:14">
      <c r="B129" s="5" t="str">
        <f>Texte!B131</f>
        <v>Ecoles</v>
      </c>
      <c r="C129" s="5">
        <v>9</v>
      </c>
      <c r="D129" s="5">
        <v>6</v>
      </c>
    </row>
    <row r="130" spans="1:14">
      <c r="B130" s="5" t="str">
        <f>Texte!B132</f>
        <v>Magasin spécialisé</v>
      </c>
      <c r="C130" s="5">
        <v>9</v>
      </c>
      <c r="D130" s="5">
        <v>6</v>
      </c>
    </row>
    <row r="131" spans="1:14">
      <c r="B131" s="5" t="str">
        <f>Texte!B133</f>
        <v>Magasin d'alimentation</v>
      </c>
      <c r="C131" s="5">
        <v>9</v>
      </c>
      <c r="D131" s="5">
        <v>5</v>
      </c>
    </row>
    <row r="132" spans="1:14">
      <c r="B132" s="5" t="str">
        <f>Texte!B134</f>
        <v>Restauration</v>
      </c>
      <c r="C132" s="5">
        <v>9</v>
      </c>
      <c r="D132" s="5">
        <v>5</v>
      </c>
    </row>
    <row r="135" spans="1:14">
      <c r="A135" s="4" t="s">
        <v>203</v>
      </c>
      <c r="B135" s="4" t="s">
        <v>23</v>
      </c>
      <c r="C135" s="4" t="s">
        <v>203</v>
      </c>
      <c r="D135" s="4" t="s">
        <v>262</v>
      </c>
      <c r="E135" s="4" t="s">
        <v>263</v>
      </c>
      <c r="F135" s="4" t="s">
        <v>230</v>
      </c>
      <c r="G135" s="4" t="s">
        <v>264</v>
      </c>
      <c r="H135" s="4" t="s">
        <v>269</v>
      </c>
      <c r="I135" s="4" t="s">
        <v>444</v>
      </c>
      <c r="J135" s="4" t="s">
        <v>2338</v>
      </c>
      <c r="K135" s="4" t="s">
        <v>2339</v>
      </c>
      <c r="M135" s="4" t="s">
        <v>2354</v>
      </c>
      <c r="N135" s="4" t="s">
        <v>2355</v>
      </c>
    </row>
    <row r="136" spans="1:14">
      <c r="B136" s="5" t="str">
        <f>Texte!B148</f>
        <v>B Travaux préparatoires</v>
      </c>
      <c r="C136" s="5" t="s">
        <v>206</v>
      </c>
      <c r="D136" s="5" t="str">
        <f>"N_"&amp;C136</f>
        <v>N_BKP_B</v>
      </c>
      <c r="E136" s="5" t="str">
        <f>"R_"&amp;C136</f>
        <v>R_BKP_B</v>
      </c>
      <c r="F136" s="5" t="s">
        <v>20</v>
      </c>
      <c r="G136" s="5" t="s">
        <v>265</v>
      </c>
      <c r="I136" s="5">
        <v>1</v>
      </c>
      <c r="J136" s="5" t="str">
        <f>Nein</f>
        <v>Non</v>
      </c>
      <c r="K136" s="5" t="str">
        <f>Nein</f>
        <v>Non</v>
      </c>
      <c r="M136" s="5" t="e">
        <f>IF(OR(IF(Typ=NewConstruction,J136,K136)=Nein,COUNTIF(#REF!,Konstanten!B136)&gt;0),Ja,Nein)</f>
        <v>#REF!</v>
      </c>
      <c r="N136" s="5" t="e">
        <f t="shared" ref="N136:N146" si="2">IF(M136=Nein,LEFT(B136,SEARCH(" ",B136)-1)&amp;", ","")</f>
        <v>#REF!</v>
      </c>
    </row>
    <row r="137" spans="1:14">
      <c r="B137" s="5" t="str">
        <f>Texte!B149</f>
        <v>C1 Radiers, fondations</v>
      </c>
      <c r="C137" s="5" t="s">
        <v>207</v>
      </c>
      <c r="D137" s="5" t="str">
        <f t="shared" ref="D137:D146" si="3">"N_"&amp;C137</f>
        <v>N_BKP_C1</v>
      </c>
      <c r="E137" s="5" t="str">
        <f t="shared" ref="E137:E146" si="4">"R_"&amp;C137</f>
        <v>R_BKP_C1</v>
      </c>
      <c r="F137" s="5" t="s">
        <v>19</v>
      </c>
      <c r="H137" s="5" t="s">
        <v>270</v>
      </c>
      <c r="I137" s="5">
        <v>1.2</v>
      </c>
      <c r="J137" s="5" t="str">
        <f>Ja</f>
        <v>Oui</v>
      </c>
      <c r="K137" s="5" t="str">
        <f t="shared" ref="K137:K146" si="5">Nein</f>
        <v>Non</v>
      </c>
      <c r="M137" s="5" t="e">
        <f>IF(OR(IF(Typ=NewConstruction,J137,K137)=Nein,COUNTIF(#REF!,Konstanten!B137)&gt;0),Ja,Nein)</f>
        <v>#REF!</v>
      </c>
      <c r="N137" s="5" t="e">
        <f t="shared" si="2"/>
        <v>#REF!</v>
      </c>
    </row>
    <row r="138" spans="1:14">
      <c r="B138" s="5" t="str">
        <f>Texte!B150</f>
        <v>C2.1 Parois porteuses ext. c. terre</v>
      </c>
      <c r="C138" s="5" t="s">
        <v>208</v>
      </c>
      <c r="D138" s="5" t="str">
        <f t="shared" si="3"/>
        <v>N_BKP_C211</v>
      </c>
      <c r="E138" s="5" t="str">
        <f t="shared" si="4"/>
        <v>R_BKP_C211</v>
      </c>
      <c r="F138" s="5" t="s">
        <v>19</v>
      </c>
      <c r="H138" s="5" t="s">
        <v>270</v>
      </c>
      <c r="I138" s="5">
        <v>1.2</v>
      </c>
      <c r="J138" s="5" t="e">
        <f>IF(StockwerkeUT&gt;0,Ja,Nein)</f>
        <v>#REF!</v>
      </c>
      <c r="K138" s="5" t="str">
        <f t="shared" si="5"/>
        <v>Non</v>
      </c>
      <c r="M138" s="5" t="e">
        <f>IF(OR(IF(Typ=NewConstruction,J138,K138)=Nein,COUNTIF(#REF!,Konstanten!B138)&gt;0),Ja,Nein)</f>
        <v>#REF!</v>
      </c>
      <c r="N138" s="5" t="e">
        <f t="shared" si="2"/>
        <v>#REF!</v>
      </c>
    </row>
    <row r="139" spans="1:14">
      <c r="B139" s="5" t="str">
        <f>Texte!B151</f>
        <v>C2.1 Parois porteuses ext. h. terr.</v>
      </c>
      <c r="C139" s="5" t="s">
        <v>209</v>
      </c>
      <c r="D139" s="5" t="str">
        <f t="shared" si="3"/>
        <v>N_BKP_C212</v>
      </c>
      <c r="E139" s="5" t="str">
        <f t="shared" si="4"/>
        <v>R_BKP_C212</v>
      </c>
      <c r="F139" s="5" t="s">
        <v>19</v>
      </c>
      <c r="H139" s="5" t="s">
        <v>270</v>
      </c>
      <c r="I139" s="5">
        <v>1.2</v>
      </c>
      <c r="J139" s="5" t="str">
        <f>Ja</f>
        <v>Oui</v>
      </c>
      <c r="K139" s="5" t="str">
        <f t="shared" si="5"/>
        <v>Non</v>
      </c>
      <c r="M139" s="5" t="e">
        <f>IF(OR(IF(Typ=NewConstruction,J139,K139)=Nein,COUNTIF(#REF!,Konstanten!B139)&gt;0),Ja,Nein)</f>
        <v>#REF!</v>
      </c>
      <c r="N139" s="5" t="e">
        <f t="shared" si="2"/>
        <v>#REF!</v>
      </c>
    </row>
    <row r="140" spans="1:14">
      <c r="B140" s="5" t="str">
        <f>Texte!B152</f>
        <v>C2.2 Parois porteuses intérieures</v>
      </c>
      <c r="C140" s="5" t="s">
        <v>210</v>
      </c>
      <c r="D140" s="5" t="str">
        <f t="shared" si="3"/>
        <v>N_BKP_C22</v>
      </c>
      <c r="E140" s="5" t="str">
        <f t="shared" si="4"/>
        <v>R_BKP_C22</v>
      </c>
      <c r="F140" s="5" t="s">
        <v>20</v>
      </c>
      <c r="G140" s="5" t="s">
        <v>266</v>
      </c>
      <c r="H140" s="5" t="s">
        <v>271</v>
      </c>
      <c r="I140" s="5">
        <v>1</v>
      </c>
      <c r="J140" s="5" t="str">
        <f>Ja</f>
        <v>Oui</v>
      </c>
      <c r="K140" s="5" t="str">
        <f t="shared" si="5"/>
        <v>Non</v>
      </c>
      <c r="M140" s="5" t="e">
        <f>IF(OR(IF(Typ=NewConstruction,J140,K140)=Nein,COUNTIF(#REF!,Konstanten!B140)&gt;0),Ja,Nein)</f>
        <v>#REF!</v>
      </c>
      <c r="N140" s="5" t="e">
        <f t="shared" si="2"/>
        <v>#REF!</v>
      </c>
    </row>
    <row r="141" spans="1:14">
      <c r="B141" s="5" t="str">
        <f>Texte!B153</f>
        <v>C4.1 Planchers</v>
      </c>
      <c r="C141" s="5" t="s">
        <v>211</v>
      </c>
      <c r="D141" s="5" t="str">
        <f t="shared" si="3"/>
        <v>N_BKP_C41</v>
      </c>
      <c r="E141" s="5" t="str">
        <f t="shared" si="4"/>
        <v>R_BKP_C41</v>
      </c>
      <c r="F141" s="5" t="s">
        <v>20</v>
      </c>
      <c r="G141" s="5" t="s">
        <v>267</v>
      </c>
      <c r="H141" s="5" t="s">
        <v>271</v>
      </c>
      <c r="I141" s="5">
        <v>1</v>
      </c>
      <c r="J141" s="5" t="e">
        <f>IF(StockwerkeUH&gt;0,Ja,Nein)</f>
        <v>#REF!</v>
      </c>
      <c r="K141" s="5" t="str">
        <f t="shared" si="5"/>
        <v>Non</v>
      </c>
      <c r="M141" s="5" t="e">
        <f>IF(OR(IF(Typ=NewConstruction,J141,K141)=Nein,COUNTIF(#REF!,Konstanten!B141)&gt;0),Ja,Nein)</f>
        <v>#REF!</v>
      </c>
      <c r="N141" s="5" t="e">
        <f t="shared" si="2"/>
        <v>#REF!</v>
      </c>
    </row>
    <row r="142" spans="1:14">
      <c r="B142" s="5" t="str">
        <f>Texte!B154</f>
        <v>C4.3 Balcons</v>
      </c>
      <c r="C142" s="5" t="s">
        <v>212</v>
      </c>
      <c r="D142" s="5" t="str">
        <f t="shared" si="3"/>
        <v>N_BKP_C43</v>
      </c>
      <c r="E142" s="5" t="str">
        <f t="shared" si="4"/>
        <v>R_BKP_C43</v>
      </c>
      <c r="F142" s="5" t="s">
        <v>19</v>
      </c>
      <c r="I142" s="5">
        <v>1</v>
      </c>
      <c r="J142" s="5" t="str">
        <f>Nein</f>
        <v>Non</v>
      </c>
      <c r="K142" s="5" t="str">
        <f t="shared" si="5"/>
        <v>Non</v>
      </c>
      <c r="M142" s="5" t="e">
        <f>IF(OR(IF(Typ=NewConstruction,J142,K142)=Nein,COUNTIF(#REF!,Konstanten!B142)&gt;0),Ja,Nein)</f>
        <v>#REF!</v>
      </c>
      <c r="N142" s="5" t="e">
        <f t="shared" si="2"/>
        <v>#REF!</v>
      </c>
    </row>
    <row r="143" spans="1:14">
      <c r="B143" s="5" t="str">
        <f>Texte!B155</f>
        <v>C4.4 Construction du toit</v>
      </c>
      <c r="C143" s="5" t="s">
        <v>213</v>
      </c>
      <c r="D143" s="5" t="str">
        <f t="shared" si="3"/>
        <v>N_BKP_C44</v>
      </c>
      <c r="E143" s="5" t="str">
        <f t="shared" si="4"/>
        <v>R_BKP_C44</v>
      </c>
      <c r="F143" s="5" t="s">
        <v>19</v>
      </c>
      <c r="H143" s="5" t="s">
        <v>270</v>
      </c>
      <c r="I143" s="5">
        <v>1.2</v>
      </c>
      <c r="J143" s="5" t="str">
        <f>Ja</f>
        <v>Oui</v>
      </c>
      <c r="K143" s="5" t="str">
        <f t="shared" si="5"/>
        <v>Non</v>
      </c>
      <c r="M143" s="5" t="e">
        <f>IF(OR(IF(Typ=NewConstruction,J143,K143)=Nein,COUNTIF(#REF!,Konstanten!B143)&gt;0),Ja,Nein)</f>
        <v>#REF!</v>
      </c>
      <c r="N143" s="5" t="e">
        <f t="shared" si="2"/>
        <v>#REF!</v>
      </c>
    </row>
    <row r="144" spans="1:14">
      <c r="B144" s="5" t="str">
        <f>Texte!B156</f>
        <v>D Installations</v>
      </c>
      <c r="C144" s="5" t="s">
        <v>214</v>
      </c>
      <c r="D144" s="5" t="str">
        <f t="shared" si="3"/>
        <v>N_BKP_D</v>
      </c>
      <c r="E144" s="5" t="str">
        <f t="shared" si="4"/>
        <v>R_BKP_D</v>
      </c>
      <c r="F144" s="5" t="s">
        <v>20</v>
      </c>
      <c r="G144" s="5" t="s">
        <v>268</v>
      </c>
      <c r="I144" s="5">
        <v>1</v>
      </c>
      <c r="J144" s="5" t="str">
        <f>Nein</f>
        <v>Non</v>
      </c>
      <c r="K144" s="5" t="str">
        <f t="shared" si="5"/>
        <v>Non</v>
      </c>
      <c r="M144" s="5" t="e">
        <f>IF(OR(IF(Typ=NewConstruction,J144,K144)=Nein,COUNTIF(#REF!,Konstanten!B144)&gt;0),Ja,Nein)</f>
        <v>#REF!</v>
      </c>
      <c r="N144" s="5" t="e">
        <f t="shared" si="2"/>
        <v>#REF!</v>
      </c>
    </row>
    <row r="145" spans="1:14">
      <c r="B145" s="5" t="str">
        <f>Texte!B159</f>
        <v>E3 Fenêtres, portes, disp. de prot.</v>
      </c>
      <c r="C145" s="5" t="s">
        <v>215</v>
      </c>
      <c r="D145" s="5" t="str">
        <f t="shared" si="3"/>
        <v>N_BKP_E3</v>
      </c>
      <c r="E145" s="5" t="str">
        <f t="shared" si="4"/>
        <v>R_BKP_E3</v>
      </c>
      <c r="F145" s="5" t="s">
        <v>19</v>
      </c>
      <c r="H145" s="5" t="s">
        <v>270</v>
      </c>
      <c r="I145" s="5">
        <v>1.2</v>
      </c>
      <c r="J145" s="5" t="str">
        <f>Ja</f>
        <v>Oui</v>
      </c>
      <c r="K145" s="5" t="str">
        <f t="shared" si="5"/>
        <v>Non</v>
      </c>
      <c r="M145" s="5" t="e">
        <f>IF(OR(IF(Typ=NewConstruction,J145,K145)=Nein,COUNTIF(#REF!,Konstanten!B145)&gt;0),Ja,Nein)</f>
        <v>#REF!</v>
      </c>
      <c r="N145" s="5" t="e">
        <f t="shared" si="2"/>
        <v>#REF!</v>
      </c>
    </row>
    <row r="146" spans="1:14">
      <c r="B146" s="5" t="str">
        <f>Texte!B161</f>
        <v>G Aménagements intérieurs</v>
      </c>
      <c r="C146" s="5" t="s">
        <v>216</v>
      </c>
      <c r="D146" s="5" t="str">
        <f t="shared" si="3"/>
        <v>N_BKP_G</v>
      </c>
      <c r="E146" s="5" t="str">
        <f t="shared" si="4"/>
        <v>R_BKP_G</v>
      </c>
      <c r="F146" s="5" t="s">
        <v>19</v>
      </c>
      <c r="I146" s="5">
        <v>1</v>
      </c>
      <c r="J146" s="5" t="str">
        <f>Nein</f>
        <v>Non</v>
      </c>
      <c r="K146" s="5" t="str">
        <f t="shared" si="5"/>
        <v>Non</v>
      </c>
      <c r="M146" s="5" t="e">
        <f>IF(OR(IF(Typ=NewConstruction,J146,K146)=Nein,COUNTIF(#REF!,Konstanten!B146)&gt;0),Ja,Nein)</f>
        <v>#REF!</v>
      </c>
      <c r="N146" s="5" t="e">
        <f t="shared" si="2"/>
        <v>#REF!</v>
      </c>
    </row>
    <row r="147" spans="1:14">
      <c r="M147" s="82" t="str">
        <f>IF(COUNTIF(M136:M146,Ja)=ROWS(M136:M146),Ja,Nein)</f>
        <v>Non</v>
      </c>
      <c r="N147" s="82" t="e">
        <f>IF(M147=Ja,Texte!B173,Texte!B174&amp;LEFT(N136&amp;N137&amp;N138&amp;N139&amp;N140&amp;N141&amp;N142&amp;N143&amp;N144&amp;N145&amp;N146,LEN(N136&amp;N137&amp;N138&amp;N139&amp;N140&amp;N141&amp;N142&amp;N143&amp;N144&amp;N145&amp;N146)-2)&amp;".")</f>
        <v>#REF!</v>
      </c>
    </row>
    <row r="148" spans="1:14" ht="15">
      <c r="A148" s="4" t="s">
        <v>317</v>
      </c>
      <c r="B148" s="4" t="s">
        <v>23</v>
      </c>
      <c r="C148" s="24" t="s">
        <v>318</v>
      </c>
    </row>
    <row r="149" spans="1:14">
      <c r="A149" s="5" t="s">
        <v>319</v>
      </c>
      <c r="B149" s="5" t="str">
        <f>Texte!B137</f>
        <v>Peu (p. ex. loft)</v>
      </c>
      <c r="C149" s="5">
        <v>0.25</v>
      </c>
    </row>
    <row r="150" spans="1:14">
      <c r="B150" s="5" t="str">
        <f>Texte!B138</f>
        <v xml:space="preserve">Nombre usuel </v>
      </c>
      <c r="C150" s="5">
        <v>0.4</v>
      </c>
    </row>
    <row r="151" spans="1:14">
      <c r="B151" s="5" t="str">
        <f>Texte!B139</f>
        <v>Nombre élevé (p. ex. hôtel)</v>
      </c>
      <c r="C151" s="5">
        <v>0.5</v>
      </c>
    </row>
    <row r="155" spans="1:14">
      <c r="A155" s="4" t="s">
        <v>24</v>
      </c>
      <c r="B155" s="4" t="s">
        <v>23</v>
      </c>
      <c r="C155" s="58"/>
      <c r="D155" s="58"/>
      <c r="E155" s="58"/>
    </row>
    <row r="156" spans="1:14">
      <c r="B156" s="5" t="s">
        <v>25</v>
      </c>
      <c r="C156" s="5">
        <v>0.7</v>
      </c>
      <c r="D156" s="5">
        <v>100</v>
      </c>
      <c r="E156" s="5" t="str">
        <f>Texte!$B$363</f>
        <v>sont bien remplies</v>
      </c>
    </row>
    <row r="157" spans="1:14">
      <c r="A157" s="3"/>
      <c r="B157" s="5" t="s">
        <v>26</v>
      </c>
      <c r="C157" s="5">
        <v>0.5</v>
      </c>
      <c r="D157" s="5">
        <f>Gut</f>
        <v>0.7</v>
      </c>
      <c r="E157" s="5" t="str">
        <f>Texte!$B$364</f>
        <v>sont remplies</v>
      </c>
    </row>
    <row r="158" spans="1:14">
      <c r="A158" s="3"/>
      <c r="B158" s="5" t="s">
        <v>27</v>
      </c>
      <c r="C158" s="5">
        <v>0</v>
      </c>
      <c r="D158" s="5">
        <f>Befriedigend</f>
        <v>0.5</v>
      </c>
      <c r="E158" s="5" t="str">
        <f>Texte!$B$365</f>
        <v>ne sont pas remplies</v>
      </c>
    </row>
    <row r="159" spans="1:14" ht="15.75" customHeight="1">
      <c r="A159" s="3"/>
    </row>
    <row r="160" spans="1:14">
      <c r="A160" s="3" t="s">
        <v>28</v>
      </c>
      <c r="B160" s="5" t="s">
        <v>2337</v>
      </c>
    </row>
    <row r="163" spans="1:11">
      <c r="A163" s="4" t="s">
        <v>2353</v>
      </c>
      <c r="B163" s="4" t="s">
        <v>23</v>
      </c>
      <c r="C163" s="4" t="s">
        <v>2356</v>
      </c>
      <c r="E163" s="4" t="s">
        <v>2354</v>
      </c>
      <c r="F163" s="58"/>
      <c r="G163" s="58"/>
      <c r="H163" s="58"/>
      <c r="I163" s="58"/>
      <c r="J163" s="58"/>
      <c r="K163" s="58"/>
    </row>
    <row r="164" spans="1:11">
      <c r="B164" s="5" t="s">
        <v>2343</v>
      </c>
    </row>
    <row r="165" spans="1:11">
      <c r="B165" s="5" t="s">
        <v>341</v>
      </c>
    </row>
    <row r="166" spans="1:11">
      <c r="B166" s="81" t="s">
        <v>2344</v>
      </c>
      <c r="C166" s="5" t="str">
        <f>Texte!B163</f>
        <v>Inst. ventilation</v>
      </c>
      <c r="E166" s="81" t="e">
        <f>IF(Typ=NewConstruction,IF(COUNTIF(#REF!,B166)&gt;0,Ja,Nein),IF(OR(AND(VentNeu=Ja,COUNTIF(#REF!,B166)&gt;0),VentNeu=Nein),Ja,Nein))</f>
        <v>#REF!</v>
      </c>
      <c r="F166" s="5" t="e">
        <f>IF(E166=Nein,Konstanten!C166&amp;", ","")</f>
        <v>#REF!</v>
      </c>
    </row>
    <row r="167" spans="1:11">
      <c r="B167" s="81" t="s">
        <v>2345</v>
      </c>
      <c r="C167" s="5" t="str">
        <f>Texte!B164</f>
        <v>Inst. électrique</v>
      </c>
      <c r="E167" s="81" t="e">
        <f>IF(Typ=NewConstruction,IF(COUNTIF(#REF!,B167)&gt;0,Ja,Nein),IF(OR(AND(ElNeu=Ja,COUNTIF(#REF!,B167)&gt;0),ElNeu=Nein),Ja,Nein))</f>
        <v>#REF!</v>
      </c>
      <c r="F167" s="5" t="e">
        <f>IF(E167=Nein,Konstanten!C167&amp;", ","")</f>
        <v>#REF!</v>
      </c>
    </row>
    <row r="168" spans="1:11">
      <c r="B168" s="81" t="s">
        <v>2347</v>
      </c>
      <c r="C168" s="5" t="str">
        <f>Texte!B165</f>
        <v>Sondes géoth.</v>
      </c>
      <c r="E168" s="81" t="e">
        <f>IF(Typ=NewConstruction,IF(OR(ErdSonde=Nein,COUNTIF(#REF!,B168)&gt;0),Ja,Nein),IF(OR(AND(ErdSonde=Ja,COUNTIF(#REF!,B168)&gt;0),ErdSonde=Nein),Ja,Nein))</f>
        <v>#REF!</v>
      </c>
      <c r="F168" s="5" t="e">
        <f>IF(E168=Nein,Konstanten!C168&amp;", ","")</f>
        <v>#REF!</v>
      </c>
    </row>
    <row r="169" spans="1:11">
      <c r="B169" s="81" t="s">
        <v>2348</v>
      </c>
      <c r="C169" s="5" t="str">
        <f>Texte!B166</f>
        <v>Coll. Solaires</v>
      </c>
      <c r="E169" s="81" t="e">
        <f>IF(Typ=NewConstruction,IF(OR(ThermieFlaeche=0,COUNTIF(#REF!,B169)&gt;0),Ja,Nein),IF(OR(AND(ThermieFlaeche&gt;0,COUNTIF(#REF!,B169)&gt;0),ThermieFlaeche=0),Ja,Nein))</f>
        <v>#REF!</v>
      </c>
      <c r="F169" s="5" t="e">
        <f>IF(E169=Nein,Konstanten!C169&amp;", ","")</f>
        <v>#REF!</v>
      </c>
    </row>
    <row r="170" spans="1:11">
      <c r="B170" s="81" t="s">
        <v>2346</v>
      </c>
      <c r="C170" s="5" t="str">
        <f>Texte!B167</f>
        <v>Inst. Sanitaires</v>
      </c>
      <c r="E170" s="81" t="e">
        <f>IF(Typ=NewConstruction,IF(COUNTIF(#REF!,B170)&gt;0,Ja,Nein),IF(OR(AND(SanNeu=Ja,COUNTIF(#REF!,B170)&gt;0),SanNeu=Nein),Ja,Nein))</f>
        <v>#REF!</v>
      </c>
      <c r="F170" s="5" t="e">
        <f>IF(E170=Nein,Konstanten!C170&amp;", ","")</f>
        <v>#REF!</v>
      </c>
    </row>
    <row r="171" spans="1:11">
      <c r="B171" s="81" t="s">
        <v>2349</v>
      </c>
      <c r="C171" s="5" t="str">
        <f>Texte!B168</f>
        <v>Inst. Photovoltaïque</v>
      </c>
      <c r="E171" s="81" t="e">
        <f>IF(Typ=NewConstruction,IF(OR(PVflaeche=0,COUNTIF(#REF!,B171)&gt;0),Ja,Nein),IF(OR(AND(PVflaeche&gt;0,COUNTIF(#REF!,B171)&gt;0),PVflaeche=0),Ja,Nein))</f>
        <v>#REF!</v>
      </c>
      <c r="F171" s="5" t="e">
        <f>IF(E171=Nein,Konstanten!C171&amp;", ","")</f>
        <v>#REF!</v>
      </c>
    </row>
    <row r="172" spans="1:11">
      <c r="B172" s="81" t="s">
        <v>2351</v>
      </c>
      <c r="C172" s="5" t="str">
        <f>Texte!B169</f>
        <v>Diff. chaleur</v>
      </c>
      <c r="E172" s="81" t="e">
        <f>IF(Typ=NewConstruction,IF(COUNTIF(#REF!,B172)&gt;0,Ja,Nein),IF(OR(AND(WAneu=Ja,COUNTIF(#REF!,B172)&gt;0),WAneu=Nein),Ja,Nein))</f>
        <v>#REF!</v>
      </c>
      <c r="F172" s="5" t="e">
        <f>IF(E172=Nein,Konstanten!C172&amp;", ","")</f>
        <v>#REF!</v>
      </c>
    </row>
    <row r="173" spans="1:11">
      <c r="B173" s="81" t="s">
        <v>2352</v>
      </c>
      <c r="C173" s="5" t="str">
        <f>Texte!B170</f>
        <v>Prod. chaleur</v>
      </c>
      <c r="E173" s="81" t="e">
        <f>IF(Typ=NewConstruction,IF(COUNTIF(#REF!,B173)&gt;0,Ja,Nein),IF(OR(AND(WEneu=Ja,COUNTIF(#REF!,B173)&gt;0),WEneu=Nein),Ja,Nein))</f>
        <v>#REF!</v>
      </c>
      <c r="F173" s="5" t="e">
        <f>IF(E173=Nein,Konstanten!C173&amp;", ","")</f>
        <v>#REF!</v>
      </c>
    </row>
    <row r="174" spans="1:11">
      <c r="B174" s="81" t="s">
        <v>2350</v>
      </c>
      <c r="C174" s="5" t="str">
        <f>Texte!B171</f>
        <v>Distr. chaleur</v>
      </c>
      <c r="E174" s="81" t="e">
        <f>IF(Typ=NewConstruction,IF(COUNTIF(#REF!,B174)&gt;0,Ja,Nein),IF(OR(AND(WVneu=Ja,COUNTIF(#REF!,B174)&gt;0),WVneu=Nein),Ja,Nein))</f>
        <v>#REF!</v>
      </c>
      <c r="F174" s="5" t="e">
        <f>IF(E174=Nein,Konstanten!C174&amp;", ","")</f>
        <v>#REF!</v>
      </c>
    </row>
    <row r="175" spans="1:11">
      <c r="E175" s="82" t="str">
        <f>IF(COUNTIF(E166:E174,Ja)=ROWS(E166:E174),Ja,Nein)</f>
        <v>Non</v>
      </c>
      <c r="F175" s="82" t="e">
        <f>IF(E175=Ja,Texte!B175,Texte!B176&amp;LEFT(F166&amp;F167&amp;F168&amp;F169&amp;F170&amp;F171&amp;F172&amp;F173&amp;F174,LEN(F166&amp;F167&amp;F168&amp;F169&amp;F170&amp;F171&amp;F172&amp;F173&amp;F174)-2)&amp;".")</f>
        <v>#REF!</v>
      </c>
      <c r="G175" s="82"/>
      <c r="H175" s="82"/>
      <c r="I175" s="82"/>
      <c r="J175" s="82"/>
      <c r="K175" s="82"/>
    </row>
  </sheetData>
  <sheetProtection algorithmName="SHA-512" hashValue="M9Wa1+tI8NxQnGzlAkm1fLJNFezkHsupuk4MwrNhTv1MkG0bxVAa930Tq5N+5PWWe2nW7cUv4Wnmp++o0F8wlg==" saltValue="8CYet3AZykf+7A+ldX+6GQ==" spinCount="100000" sheet="1"/>
  <sortState xmlns:xlrd2="http://schemas.microsoft.com/office/spreadsheetml/2017/richdata2" ref="B44:H46">
    <sortCondition ref="B44"/>
  </sortState>
  <phoneticPr fontId="13" type="noConversion"/>
  <conditionalFormatting sqref="B166:B171">
    <cfRule type="expression" dxfId="107" priority="3">
      <formula>$N165=Fehler</formula>
    </cfRule>
  </conditionalFormatting>
  <conditionalFormatting sqref="B172:B174">
    <cfRule type="expression" dxfId="106" priority="4">
      <formula>#REF!=Fehler</formula>
    </cfRule>
  </conditionalFormatting>
  <conditionalFormatting sqref="E166:E171">
    <cfRule type="expression" dxfId="105" priority="1">
      <formula>$N166=Fehler</formula>
    </cfRule>
  </conditionalFormatting>
  <conditionalFormatting sqref="E172:E174">
    <cfRule type="expression" dxfId="104" priority="2">
      <formula>#REF!=Fehler</formula>
    </cfRule>
  </conditionalFormatting>
  <dataValidations count="1">
    <dataValidation type="list" allowBlank="1" showInputMessage="1" showErrorMessage="1" sqref="B5" xr:uid="{00000000-0002-0000-0300-000000000000}">
      <formula1>ListSprache</formula1>
    </dataValidation>
  </dataValidations>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8" r:id="rId4" name="Button 18">
              <controlPr defaultSize="0" print="0" autoFill="0" autoPict="0" macro="[0]!LangChange_sheets_validation" altText="Tabellen umbenennen">
                <anchor moveWithCells="1" sizeWithCells="1">
                  <from>
                    <xdr:col>3</xdr:col>
                    <xdr:colOff>0</xdr:colOff>
                    <xdr:row>3</xdr:row>
                    <xdr:rowOff>136071</xdr:rowOff>
                  </from>
                  <to>
                    <xdr:col>5</xdr:col>
                    <xdr:colOff>0</xdr:colOff>
                    <xdr:row>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dimension ref="A1:K518"/>
  <sheetViews>
    <sheetView topLeftCell="A64" zoomScale="70" zoomScaleNormal="70" workbookViewId="0">
      <selection activeCell="D99" sqref="D99"/>
    </sheetView>
  </sheetViews>
  <sheetFormatPr baseColWidth="10" defaultColWidth="11.5625" defaultRowHeight="12.45"/>
  <cols>
    <col min="1" max="1" width="20.5625" style="8" customWidth="1"/>
    <col min="2" max="6" width="50.5625" style="8" customWidth="1"/>
    <col min="7" max="7" width="20.6875" style="8" customWidth="1"/>
    <col min="8" max="11" width="7.6875" style="8" customWidth="1"/>
    <col min="12" max="16384" width="11.5625" style="8"/>
  </cols>
  <sheetData>
    <row r="1" spans="1:6" ht="22.3">
      <c r="A1" s="11" t="s">
        <v>36</v>
      </c>
    </row>
    <row r="2" spans="1:6" ht="9" customHeight="1"/>
    <row r="3" spans="1:6">
      <c r="A3" s="10" t="str">
        <f>"Tabelle "&amp;SheetOverview</f>
        <v>Tabelle Résumé</v>
      </c>
      <c r="B3" s="10"/>
      <c r="C3" s="10"/>
      <c r="D3" s="10"/>
      <c r="E3" s="10"/>
      <c r="F3" s="10"/>
    </row>
    <row r="4" spans="1:6">
      <c r="A4" s="10" t="s">
        <v>37</v>
      </c>
      <c r="B4" s="10" t="s">
        <v>38</v>
      </c>
      <c r="C4" s="10" t="s">
        <v>13</v>
      </c>
      <c r="D4" s="10" t="s">
        <v>53</v>
      </c>
      <c r="E4" s="10" t="s">
        <v>14</v>
      </c>
      <c r="F4" s="10" t="s">
        <v>15</v>
      </c>
    </row>
    <row r="5" spans="1:6">
      <c r="A5" s="16" t="s">
        <v>40</v>
      </c>
      <c r="B5" s="16" t="str">
        <f t="shared" ref="B5:B40" si="0">INDEX($C5:$F5,1,MATCH(Sprachwahl,ListSprache,0))</f>
        <v>Outil Énergie Grise Minergie-Eco®</v>
      </c>
      <c r="C5" s="8" t="s">
        <v>146</v>
      </c>
      <c r="D5" s="8" t="s">
        <v>753</v>
      </c>
      <c r="E5" s="8" t="s">
        <v>844</v>
      </c>
      <c r="F5" s="8" t="s">
        <v>760</v>
      </c>
    </row>
    <row r="6" spans="1:6">
      <c r="A6" s="16" t="s">
        <v>39</v>
      </c>
      <c r="B6" s="16" t="str">
        <f t="shared" si="0"/>
        <v>Données du projet</v>
      </c>
      <c r="C6" s="8" t="s">
        <v>8</v>
      </c>
      <c r="D6" s="8" t="s">
        <v>1063</v>
      </c>
      <c r="E6" s="8" t="s">
        <v>845</v>
      </c>
      <c r="F6" s="8" t="s">
        <v>82</v>
      </c>
    </row>
    <row r="7" spans="1:6">
      <c r="A7" s="16" t="s">
        <v>41</v>
      </c>
      <c r="B7" s="16" t="str">
        <f t="shared" si="0"/>
        <v>Projet</v>
      </c>
      <c r="C7" s="8" t="s">
        <v>16</v>
      </c>
      <c r="D7" s="8" t="s">
        <v>65</v>
      </c>
      <c r="E7" s="8" t="s">
        <v>76</v>
      </c>
      <c r="F7" s="8" t="s">
        <v>83</v>
      </c>
    </row>
    <row r="8" spans="1:6">
      <c r="A8" s="16" t="s">
        <v>42</v>
      </c>
      <c r="B8" s="16" t="str">
        <f t="shared" si="0"/>
        <v>Type de projet</v>
      </c>
      <c r="C8" s="8" t="s">
        <v>6</v>
      </c>
      <c r="D8" s="8" t="s">
        <v>66</v>
      </c>
      <c r="E8" s="8" t="s">
        <v>77</v>
      </c>
      <c r="F8" s="8" t="s">
        <v>84</v>
      </c>
    </row>
    <row r="9" spans="1:6">
      <c r="A9" s="16" t="s">
        <v>43</v>
      </c>
      <c r="B9" s="16" t="str">
        <f t="shared" si="0"/>
        <v>Certificat souhaité</v>
      </c>
      <c r="C9" s="8" t="s">
        <v>287</v>
      </c>
      <c r="D9" s="52" t="s">
        <v>1064</v>
      </c>
      <c r="E9" s="52" t="s">
        <v>846</v>
      </c>
      <c r="F9" s="52" t="s">
        <v>721</v>
      </c>
    </row>
    <row r="10" spans="1:6">
      <c r="A10" s="16" t="s">
        <v>59</v>
      </c>
      <c r="B10" s="16" t="str">
        <f t="shared" si="0"/>
        <v>Catégorie de bâtiment</v>
      </c>
      <c r="C10" s="8" t="s">
        <v>140</v>
      </c>
      <c r="D10" s="8" t="s">
        <v>1065</v>
      </c>
      <c r="E10" s="52" t="s">
        <v>847</v>
      </c>
      <c r="F10" s="52" t="s">
        <v>722</v>
      </c>
    </row>
    <row r="11" spans="1:6">
      <c r="A11" s="16" t="s">
        <v>330</v>
      </c>
      <c r="B11" s="16" t="str">
        <f t="shared" si="0"/>
        <v>Catégorie de bâtiment incorrecte - sélectionner encore une fois</v>
      </c>
      <c r="C11" s="8" t="s">
        <v>331</v>
      </c>
      <c r="D11" s="8" t="s">
        <v>1066</v>
      </c>
      <c r="E11" s="8" t="s">
        <v>848</v>
      </c>
      <c r="F11" s="8" t="s">
        <v>723</v>
      </c>
    </row>
    <row r="12" spans="1:6">
      <c r="A12" s="16" t="s">
        <v>154</v>
      </c>
      <c r="B12" s="16" t="str">
        <f t="shared" si="0"/>
        <v>Maître de l'ouvrage</v>
      </c>
      <c r="C12" s="8" t="s">
        <v>5</v>
      </c>
      <c r="D12" s="8" t="s">
        <v>67</v>
      </c>
      <c r="E12" s="8" t="s">
        <v>85</v>
      </c>
      <c r="F12" s="8" t="s">
        <v>724</v>
      </c>
    </row>
    <row r="13" spans="1:6">
      <c r="A13" s="16" t="s">
        <v>283</v>
      </c>
      <c r="B13" s="16" t="str">
        <f t="shared" si="0"/>
        <v>Architecte</v>
      </c>
      <c r="C13" s="8" t="s">
        <v>0</v>
      </c>
      <c r="D13" s="8" t="s">
        <v>68</v>
      </c>
      <c r="E13" s="8" t="s">
        <v>78</v>
      </c>
      <c r="F13" s="8" t="s">
        <v>86</v>
      </c>
    </row>
    <row r="14" spans="1:6">
      <c r="A14" s="16" t="s">
        <v>61</v>
      </c>
      <c r="B14" s="16" t="str">
        <f t="shared" si="0"/>
        <v>Physicien du bâtiment</v>
      </c>
      <c r="C14" s="8" t="s">
        <v>281</v>
      </c>
      <c r="D14" s="8" t="s">
        <v>725</v>
      </c>
      <c r="E14" s="8" t="s">
        <v>849</v>
      </c>
      <c r="F14" s="8" t="s">
        <v>282</v>
      </c>
    </row>
    <row r="15" spans="1:6">
      <c r="A15" s="16" t="s">
        <v>284</v>
      </c>
      <c r="B15" s="16" t="str">
        <f t="shared" si="0"/>
        <v>Auteur du justificatif</v>
      </c>
      <c r="C15" s="8" t="s">
        <v>1</v>
      </c>
      <c r="D15" s="8" t="s">
        <v>1067</v>
      </c>
      <c r="E15" s="8" t="s">
        <v>79</v>
      </c>
      <c r="F15" s="8" t="s">
        <v>102</v>
      </c>
    </row>
    <row r="16" spans="1:6">
      <c r="A16" s="16" t="s">
        <v>142</v>
      </c>
      <c r="B16" s="16" t="str">
        <f t="shared" si="0"/>
        <v>Date, signature</v>
      </c>
      <c r="C16" s="8" t="s">
        <v>278</v>
      </c>
      <c r="D16" s="8" t="s">
        <v>1068</v>
      </c>
      <c r="E16" s="8" t="s">
        <v>279</v>
      </c>
      <c r="F16" s="8" t="s">
        <v>280</v>
      </c>
    </row>
    <row r="17" spans="1:6">
      <c r="A17" s="16" t="s">
        <v>143</v>
      </c>
      <c r="B17" s="16" t="str">
        <f t="shared" si="0"/>
        <v>Récapitulation des résultats</v>
      </c>
      <c r="C17" s="8" t="s">
        <v>29</v>
      </c>
      <c r="D17" s="8" t="s">
        <v>1069</v>
      </c>
      <c r="E17" s="8" t="s">
        <v>850</v>
      </c>
      <c r="F17" s="8" t="s">
        <v>87</v>
      </c>
    </row>
    <row r="18" spans="1:6">
      <c r="A18" s="16" t="s">
        <v>45</v>
      </c>
      <c r="B18" s="16" t="str">
        <f t="shared" si="0"/>
        <v>Désignation</v>
      </c>
      <c r="C18" s="8" t="s">
        <v>23</v>
      </c>
      <c r="D18" s="8" t="s">
        <v>726</v>
      </c>
      <c r="E18" s="8" t="s">
        <v>727</v>
      </c>
      <c r="F18" s="8" t="s">
        <v>728</v>
      </c>
    </row>
    <row r="19" spans="1:6" ht="14.15">
      <c r="A19" s="16" t="s">
        <v>293</v>
      </c>
      <c r="B19" s="16" t="str">
        <f t="shared" si="0"/>
        <v>EPnr (én. grise)
kWh/m2a</v>
      </c>
      <c r="C19" s="8" t="s">
        <v>299</v>
      </c>
      <c r="D19" s="8" t="s">
        <v>1796</v>
      </c>
      <c r="E19" s="8" t="s">
        <v>1797</v>
      </c>
      <c r="F19" s="8" t="s">
        <v>1798</v>
      </c>
    </row>
    <row r="20" spans="1:6" ht="14.15">
      <c r="A20" s="16" t="s">
        <v>295</v>
      </c>
      <c r="B20" s="16" t="str">
        <f t="shared" si="0"/>
        <v>EGES
kg/m2a</v>
      </c>
      <c r="C20" s="8" t="s">
        <v>298</v>
      </c>
      <c r="D20" s="8" t="s">
        <v>1294</v>
      </c>
      <c r="E20" s="8" t="s">
        <v>1296</v>
      </c>
      <c r="F20" s="8" t="s">
        <v>1295</v>
      </c>
    </row>
    <row r="21" spans="1:6">
      <c r="A21" s="16" t="s">
        <v>1805</v>
      </c>
      <c r="B21" s="16" t="str">
        <f t="shared" si="0"/>
        <v>Valeurs du projet</v>
      </c>
      <c r="C21" s="8" t="s">
        <v>292</v>
      </c>
      <c r="D21" s="8" t="s">
        <v>1070</v>
      </c>
      <c r="E21" s="8" t="s">
        <v>1803</v>
      </c>
      <c r="F21" s="8" t="s">
        <v>1804</v>
      </c>
    </row>
    <row r="22" spans="1:6">
      <c r="A22" s="16" t="s">
        <v>294</v>
      </c>
      <c r="B22" s="16" t="str">
        <f t="shared" si="0"/>
        <v>L'exigence Minergie-Eco pour l'énergie grise est</v>
      </c>
      <c r="C22" s="8" t="s">
        <v>300</v>
      </c>
      <c r="D22" s="8" t="s">
        <v>1297</v>
      </c>
      <c r="E22" s="8" t="s">
        <v>1725</v>
      </c>
      <c r="F22" s="8" t="s">
        <v>1728</v>
      </c>
    </row>
    <row r="23" spans="1:6">
      <c r="A23" s="16" t="s">
        <v>294</v>
      </c>
      <c r="B23" s="16" t="str">
        <f t="shared" si="0"/>
        <v>Résultat de l'évaluation selon le SNBS, indicateur 301.1</v>
      </c>
      <c r="C23" s="8" t="s">
        <v>532</v>
      </c>
      <c r="D23" s="8" t="s">
        <v>1071</v>
      </c>
      <c r="E23" s="52" t="s">
        <v>851</v>
      </c>
      <c r="F23" s="8" t="s">
        <v>1298</v>
      </c>
    </row>
    <row r="24" spans="1:6">
      <c r="A24" s="16" t="s">
        <v>294</v>
      </c>
      <c r="B24" s="16" t="str">
        <f t="shared" si="0"/>
        <v>Valeur de référence d'énergie grise pour la construction selon la voie SIA vers l'efficacité énergétique:</v>
      </c>
      <c r="C24" s="8" t="s">
        <v>296</v>
      </c>
      <c r="D24" s="8" t="s">
        <v>1072</v>
      </c>
      <c r="E24" s="8" t="s">
        <v>852</v>
      </c>
      <c r="F24" s="8" t="s">
        <v>1299</v>
      </c>
    </row>
    <row r="25" spans="1:6">
      <c r="A25" s="16" t="s">
        <v>294</v>
      </c>
      <c r="B25" s="16" t="str">
        <f t="shared" si="0"/>
        <v>Aucune exigence par rapport à l'énergie grise</v>
      </c>
      <c r="C25" s="8" t="s">
        <v>328</v>
      </c>
      <c r="D25" s="8" t="s">
        <v>1073</v>
      </c>
      <c r="E25" s="8" t="s">
        <v>853</v>
      </c>
      <c r="F25" s="8" t="s">
        <v>1300</v>
      </c>
    </row>
    <row r="26" spans="1:6">
      <c r="A26" s="16" t="s">
        <v>144</v>
      </c>
      <c r="B26" s="16" t="str">
        <f t="shared" si="0"/>
        <v>L'exigence Minergie-Eco pour les émissions de gaz à effet de serre est</v>
      </c>
      <c r="C26" s="8" t="s">
        <v>1723</v>
      </c>
      <c r="D26" s="8" t="s">
        <v>1724</v>
      </c>
      <c r="E26" s="8" t="s">
        <v>1726</v>
      </c>
      <c r="F26" s="8" t="s">
        <v>1727</v>
      </c>
    </row>
    <row r="27" spans="1:6">
      <c r="A27" s="16" t="s">
        <v>144</v>
      </c>
      <c r="B27" s="16" t="str">
        <f t="shared" si="0"/>
        <v>Résultat de l'évaluation selon le SNBS, indicateur 302.1</v>
      </c>
      <c r="C27" s="8" t="s">
        <v>533</v>
      </c>
      <c r="D27" s="8" t="s">
        <v>1074</v>
      </c>
      <c r="E27" s="52" t="s">
        <v>854</v>
      </c>
      <c r="F27" s="8" t="s">
        <v>1301</v>
      </c>
    </row>
    <row r="28" spans="1:6">
      <c r="A28" s="16" t="s">
        <v>144</v>
      </c>
      <c r="B28" s="16" t="str">
        <f t="shared" si="0"/>
        <v>Valeur de référence d'émissions de gaz à effet de serre pour la construction selon la voie SIA vers l'efficacité énergétique:</v>
      </c>
      <c r="C28" s="8" t="s">
        <v>297</v>
      </c>
      <c r="D28" s="8" t="s">
        <v>1075</v>
      </c>
      <c r="E28" s="8" t="s">
        <v>855</v>
      </c>
      <c r="F28" s="8" t="s">
        <v>1302</v>
      </c>
    </row>
    <row r="29" spans="1:6">
      <c r="A29" s="16" t="s">
        <v>144</v>
      </c>
      <c r="B29" s="16" t="str">
        <f t="shared" si="0"/>
        <v>Aucune exigence par rapport aux émissions de gaz à effet de serre</v>
      </c>
      <c r="C29" s="8" t="s">
        <v>329</v>
      </c>
      <c r="D29" s="8" t="s">
        <v>1076</v>
      </c>
      <c r="E29" s="8" t="s">
        <v>856</v>
      </c>
      <c r="F29" s="8" t="s">
        <v>1303</v>
      </c>
    </row>
    <row r="30" spans="1:6">
      <c r="A30" s="16" t="s">
        <v>145</v>
      </c>
      <c r="B30" s="16" t="str">
        <f t="shared" si="0"/>
        <v>Guide rapide</v>
      </c>
      <c r="C30" s="8" t="s">
        <v>31</v>
      </c>
      <c r="D30" s="8" t="s">
        <v>1077</v>
      </c>
      <c r="E30" s="8" t="s">
        <v>857</v>
      </c>
      <c r="F30" s="8" t="s">
        <v>88</v>
      </c>
    </row>
    <row r="31" spans="1:6">
      <c r="A31" s="16" t="s">
        <v>391</v>
      </c>
      <c r="B31" s="16" t="str">
        <f t="shared" si="0"/>
        <v xml:space="preserve">Des instructions détaillées sont disponibles sur le site Internet de Minergie.  </v>
      </c>
      <c r="C31" s="8" t="s">
        <v>73</v>
      </c>
      <c r="D31" s="8" t="s">
        <v>1078</v>
      </c>
      <c r="E31" s="8" t="s">
        <v>81</v>
      </c>
      <c r="F31" s="8" t="s">
        <v>89</v>
      </c>
    </row>
    <row r="32" spans="1:6">
      <c r="A32" s="16" t="s">
        <v>46</v>
      </c>
      <c r="B32" s="16" t="str">
        <f t="shared" si="0"/>
        <v>Saisir en premier les données du projet dans cette feuille.</v>
      </c>
      <c r="C32" s="8" t="s">
        <v>118</v>
      </c>
      <c r="D32" s="8" t="s">
        <v>1079</v>
      </c>
      <c r="E32" s="8" t="s">
        <v>858</v>
      </c>
      <c r="F32" s="8" t="s">
        <v>123</v>
      </c>
    </row>
    <row r="33" spans="1:6">
      <c r="A33" s="16" t="s">
        <v>47</v>
      </c>
      <c r="B33" s="16" t="str">
        <f t="shared" si="0"/>
        <v>Si le projet est une modernisation, remplir la feuille 'Questionnaire_modernisations'.</v>
      </c>
      <c r="C33" s="8" t="str">
        <f>"Falls es sich beim Objekt um eine Modernisierung handelt, gehen Sie zum Blatt '"&amp;SheetQuestionaire&amp;"' und füllen dieses aus."</f>
        <v>Falls es sich beim Objekt um eine Modernisierung handelt, gehen Sie zum Blatt 'Questionnaire_modernisations' und füllen dieses aus.</v>
      </c>
      <c r="D33" s="8" t="str">
        <f>"Si le projet est une modernisation, remplir la feuille '"&amp;SheetQuestionaire&amp;"'."</f>
        <v>Si le projet est une modernisation, remplir la feuille 'Questionnaire_modernisations'.</v>
      </c>
      <c r="E33" s="8" t="str">
        <f>"Se l’oggetto è un ammodernamento, andare al foglio  '"&amp;SheetQuestionaire&amp;"' ."</f>
        <v>Se l’oggetto è un ammodernamento, andare al foglio  'Questionnaire_modernisations' .</v>
      </c>
      <c r="F33" s="8" t="str">
        <f>"If the project is undergoing a renovation, select the sheet '"&amp;SheetQuestionaire&amp;"' and answer the questions."</f>
        <v>If the project is undergoing a renovation, select the sheet 'Questionnaire_modernisations' and answer the questions.</v>
      </c>
    </row>
    <row r="34" spans="1:6">
      <c r="A34" s="16" t="s">
        <v>48</v>
      </c>
      <c r="B34" s="16" t="str">
        <f t="shared" si="0"/>
        <v>Si le projet est une construction nouvelle, aller directement à la feuille 'Calcul'.</v>
      </c>
      <c r="C34" s="8" t="str">
        <f>"Falls es sich beim Objekt um einen Neubau handelt, gehen Sie direkt zum Blatt '"&amp;SheetBuildgData&amp;"'."</f>
        <v>Falls es sich beim Objekt um einen Neubau handelt, gehen Sie direkt zum Blatt 'Calcul'.</v>
      </c>
      <c r="D34" s="8" t="str">
        <f>"Si le projet est une construction nouvelle, aller directement à la feuille '"&amp;SheetBuildgData&amp;"'."</f>
        <v>Si le projet est une construction nouvelle, aller directement à la feuille 'Calcul'.</v>
      </c>
      <c r="E34" s="8" t="str">
        <f>"Se l’oggetto è un nuovo edificio, andare al foglio '"&amp;SheetBuildgData&amp;"'."</f>
        <v>Se l’oggetto è un nuovo edificio, andare al foglio 'Calcul'.</v>
      </c>
      <c r="F34" s="8" t="str">
        <f>"If the project is a new building, select the sheet '"&amp;SheetBuildgData&amp;"'."</f>
        <v>If the project is a new building, select the sheet 'Calcul'.</v>
      </c>
    </row>
    <row r="35" spans="1:6">
      <c r="A35" s="16" t="s">
        <v>49</v>
      </c>
      <c r="B35" s="16" t="str">
        <f t="shared" si="0"/>
        <v>Saisir ensuite les éléments de construction et les surfaces du bâtiment dans la feuille 'Calcul'.</v>
      </c>
      <c r="C35" s="8" t="str">
        <f>"Anschliessend geben Sie die Bauteile und Flächen des Gebäudes in der Tabelle '"&amp;SheetBuildgData&amp;"' ein."</f>
        <v>Anschliessend geben Sie die Bauteile und Flächen des Gebäudes in der Tabelle 'Calcul' ein.</v>
      </c>
      <c r="D35" s="8" t="str">
        <f>"Saisir ensuite les éléments de construction et les surfaces du bâtiment dans la feuille '"&amp;SheetBuildgData&amp;"'."</f>
        <v>Saisir ensuite les éléments de construction et les surfaces du bâtiment dans la feuille 'Calcul'.</v>
      </c>
      <c r="E35" s="8" t="str">
        <f>"Registrare quindi i dati delle finestre dell' edificio nella tabella '"&amp;SheetBuildgData&amp;"'."</f>
        <v>Registrare quindi i dati delle finestre dell' edificio nella tabella 'Calcul'.</v>
      </c>
      <c r="F35" s="8" t="str">
        <f>"Now, enter the windows data in the sheet '"&amp;SheetBuildgData&amp;"'."</f>
        <v>Now, enter the windows data in the sheet 'Calcul'.</v>
      </c>
    </row>
    <row r="36" spans="1:6">
      <c r="A36" s="16" t="s">
        <v>50</v>
      </c>
      <c r="B36" s="16" t="str">
        <f t="shared" si="0"/>
        <v>Reporter les surfaces et les éléments de construction issus du calcul énergétique (si disponibles).</v>
      </c>
      <c r="C36" s="8" t="s">
        <v>201</v>
      </c>
      <c r="D36" s="8" t="s">
        <v>1080</v>
      </c>
      <c r="E36" s="8" t="s">
        <v>859</v>
      </c>
      <c r="F36" s="8" t="s">
        <v>729</v>
      </c>
    </row>
    <row r="37" spans="1:6">
      <c r="A37" s="16" t="s">
        <v>51</v>
      </c>
      <c r="B37" s="16" t="str">
        <f t="shared" si="0"/>
        <v>Merci de lire les bulles d'aide qui apparaissent en cliquant sur les champs de saisie.</v>
      </c>
      <c r="C37" s="8" t="s">
        <v>116</v>
      </c>
      <c r="D37" s="8" t="s">
        <v>1081</v>
      </c>
      <c r="E37" s="8" t="s">
        <v>860</v>
      </c>
      <c r="F37" s="8" t="s">
        <v>124</v>
      </c>
    </row>
    <row r="38" spans="1:6">
      <c r="A38" s="16" t="s">
        <v>52</v>
      </c>
      <c r="B38" s="16" t="str">
        <f t="shared" si="0"/>
        <v>Les résultats sont affichés au bas de la page 'Calcul' et 'Résumé'.</v>
      </c>
      <c r="C38" s="8" t="str">
        <f>"Die Ergebnisse werden unten auf der Seite im Blatt '"&amp;SheetBuildgData&amp;"' und im Blatt '"&amp;SheetOverview&amp;"' ausgegeben."</f>
        <v>Die Ergebnisse werden unten auf der Seite im Blatt 'Calcul' und im Blatt 'Résumé' ausgegeben.</v>
      </c>
      <c r="D38" s="8" t="str">
        <f>"Les résultats sont affichés au bas de la page '"&amp;SheetBuildgData&amp;"' et '"&amp;SheetOverview&amp;"'."</f>
        <v>Les résultats sont affichés au bas de la page 'Calcul' et 'Résumé'.</v>
      </c>
      <c r="E38" s="8" t="str">
        <f>"I risultati vengono visualizzati in fondo alla pagina nei fogli '"&amp;SheetOverview&amp;"' e '"&amp;SheetBuildgData&amp;"'."</f>
        <v>I risultati vengono visualizzati in fondo alla pagina nei fogli 'Résumé' e 'Calcul'.</v>
      </c>
      <c r="F38" s="8" t="str">
        <f>"The results are displayed on the bottom of the sheet '"&amp;SheetBuildgData&amp;"' and on the sheet '"&amp;SheetOverview&amp;"'."</f>
        <v>The results are displayed on the bottom of the sheet 'Calcul' and on the sheet 'Résumé'.</v>
      </c>
    </row>
    <row r="39" spans="1:6">
      <c r="A39" s="16" t="s">
        <v>285</v>
      </c>
      <c r="B39" s="16" t="str">
        <f t="shared" si="0"/>
        <v>Si un tableau ne suffit pas, il est possible de reporter les résultats provenant d'autres feuilles en bas de la feuille 'Calcul'.</v>
      </c>
      <c r="C39" s="8" t="str">
        <f>"Falls eine Tabelle nicht ausreichen sollte, so können Sie die Ergebnisse von anderen Blättern unten im Blatt '"&amp;SheetBuildgData&amp;"' eintragen."</f>
        <v>Falls eine Tabelle nicht ausreichen sollte, so können Sie die Ergebnisse von anderen Blättern unten im Blatt 'Calcul' eintragen.</v>
      </c>
      <c r="D39" s="8" t="str">
        <f>"Si un tableau ne suffit pas, il est possible de reporter les résultats provenant d'autres feuilles en bas de la feuille '"&amp;SheetBuildgData&amp;"'."</f>
        <v>Si un tableau ne suffit pas, il est possible de reporter les résultats provenant d'autres feuilles en bas de la feuille 'Calcul'.</v>
      </c>
      <c r="E39" s="8" t="str">
        <f>"Se una tabella non è sufficiente, è possibile inserire i risultati di altri fogli in fondo al foglio '"&amp;SheetBuildgData&amp;"'."</f>
        <v>Se una tabella non è sufficiente, è possibile inserire i risultati di altri fogli in fondo al foglio 'Calcul'.</v>
      </c>
      <c r="F39" s="8" t="str">
        <f>"If the number of rows is insufficient, you can report the results of other tools on the bottom of sheet '"&amp;SheetBuildgData&amp;"'."</f>
        <v>If the number of rows is insufficient, you can report the results of other tools on the bottom of sheet 'Calcul'.</v>
      </c>
    </row>
    <row r="40" spans="1:6">
      <c r="A40" s="16" t="s">
        <v>286</v>
      </c>
      <c r="B40" s="16" t="str">
        <f t="shared" si="0"/>
        <v>En cas de questions concernant la certification, merci de contacter l'office de certification responsable.</v>
      </c>
      <c r="C40" s="8" t="s">
        <v>117</v>
      </c>
      <c r="D40" s="8" t="s">
        <v>1082</v>
      </c>
      <c r="E40" s="8" t="s">
        <v>122</v>
      </c>
      <c r="F40" s="8" t="s">
        <v>125</v>
      </c>
    </row>
    <row r="41" spans="1:6">
      <c r="D41" s="17"/>
    </row>
    <row r="42" spans="1:6">
      <c r="A42" s="10" t="str">
        <f>"Tabelle "&amp;SheetBuildgData</f>
        <v>Tabelle Calcul</v>
      </c>
      <c r="B42" s="10"/>
      <c r="C42" s="10"/>
      <c r="D42" s="61"/>
      <c r="E42" s="10"/>
      <c r="F42" s="10"/>
    </row>
    <row r="43" spans="1:6">
      <c r="A43" s="10" t="s">
        <v>37</v>
      </c>
      <c r="B43" s="10" t="s">
        <v>38</v>
      </c>
      <c r="C43" s="10" t="str">
        <f>C$4</f>
        <v>Deutsch</v>
      </c>
      <c r="D43" s="61" t="str">
        <f>D$4</f>
        <v>Francais</v>
      </c>
      <c r="E43" s="10" t="str">
        <f>E$4</f>
        <v>Italiano</v>
      </c>
      <c r="F43" s="10" t="str">
        <f>F$4</f>
        <v>English</v>
      </c>
    </row>
    <row r="44" spans="1:6">
      <c r="A44" s="16" t="s">
        <v>40</v>
      </c>
      <c r="B44" s="16" t="str">
        <f t="shared" ref="B44:B84" si="1">INDEX($C44:$F44,1,MATCH(Sprachwahl,ListSprache,0))</f>
        <v>Calcul de l'énergie grise (EPnr) et des émissions de gaz à effet de serre (EGES)</v>
      </c>
      <c r="C44" s="8" t="s">
        <v>1764</v>
      </c>
      <c r="D44" s="8" t="s">
        <v>1765</v>
      </c>
      <c r="E44" s="8" t="s">
        <v>1766</v>
      </c>
      <c r="F44" s="8" t="s">
        <v>736</v>
      </c>
    </row>
    <row r="45" spans="1:6">
      <c r="A45" s="16" t="s">
        <v>39</v>
      </c>
      <c r="B45" s="16" t="str">
        <f t="shared" si="1"/>
        <v>Données générales</v>
      </c>
      <c r="C45" s="8" t="s">
        <v>176</v>
      </c>
      <c r="D45" s="8" t="s">
        <v>1083</v>
      </c>
      <c r="E45" s="8" t="s">
        <v>861</v>
      </c>
      <c r="F45" s="8" t="s">
        <v>754</v>
      </c>
    </row>
    <row r="46" spans="1:6">
      <c r="A46" s="16" t="s">
        <v>41</v>
      </c>
      <c r="B46" s="16" t="str">
        <f t="shared" si="1"/>
        <v>Bâtiment</v>
      </c>
      <c r="C46" s="8" t="s">
        <v>364</v>
      </c>
      <c r="D46" s="8" t="s">
        <v>1084</v>
      </c>
      <c r="E46" s="8" t="s">
        <v>862</v>
      </c>
      <c r="F46" s="8" t="s">
        <v>737</v>
      </c>
    </row>
    <row r="47" spans="1:6">
      <c r="A47" s="16" t="s">
        <v>302</v>
      </c>
      <c r="B47" s="16" t="str">
        <f t="shared" si="1"/>
        <v>Surfaces</v>
      </c>
      <c r="C47" s="8" t="s">
        <v>365</v>
      </c>
      <c r="D47" s="8" t="s">
        <v>1085</v>
      </c>
      <c r="E47" s="8" t="s">
        <v>863</v>
      </c>
      <c r="F47" s="8" t="s">
        <v>738</v>
      </c>
    </row>
    <row r="48" spans="1:6">
      <c r="A48" s="16" t="s">
        <v>42</v>
      </c>
      <c r="B48" s="16" t="str">
        <f t="shared" si="1"/>
        <v>Etages</v>
      </c>
      <c r="C48" s="8" t="s">
        <v>366</v>
      </c>
      <c r="D48" s="8" t="s">
        <v>1086</v>
      </c>
      <c r="E48" s="8" t="s">
        <v>864</v>
      </c>
      <c r="F48" s="8" t="s">
        <v>742</v>
      </c>
    </row>
    <row r="49" spans="1:6">
      <c r="A49" s="16" t="s">
        <v>303</v>
      </c>
      <c r="B49" s="16" t="str">
        <f t="shared" si="1"/>
        <v>Technique du bâtiment</v>
      </c>
      <c r="C49" s="8" t="s">
        <v>244</v>
      </c>
      <c r="D49" s="8" t="s">
        <v>1087</v>
      </c>
      <c r="E49" s="8" t="s">
        <v>865</v>
      </c>
      <c r="F49" s="8" t="s">
        <v>739</v>
      </c>
    </row>
    <row r="50" spans="1:6">
      <c r="A50" s="16" t="s">
        <v>359</v>
      </c>
      <c r="B50" s="16" t="str">
        <f t="shared" si="1"/>
        <v>Surface de référence énergétique</v>
      </c>
      <c r="C50" s="8" t="s">
        <v>177</v>
      </c>
      <c r="D50" s="8" t="s">
        <v>1088</v>
      </c>
      <c r="E50" s="8" t="s">
        <v>866</v>
      </c>
      <c r="F50" s="8" t="s">
        <v>740</v>
      </c>
    </row>
    <row r="51" spans="1:6">
      <c r="A51" s="16" t="s">
        <v>360</v>
      </c>
      <c r="B51" s="16" t="str">
        <f t="shared" si="1"/>
        <v>Plancher chauffé vs. non chauffé/terre</v>
      </c>
      <c r="C51" s="18" t="s">
        <v>388</v>
      </c>
      <c r="D51" s="8" t="s">
        <v>1758</v>
      </c>
      <c r="E51" s="8" t="s">
        <v>867</v>
      </c>
      <c r="F51" s="8" t="s">
        <v>741</v>
      </c>
    </row>
    <row r="52" spans="1:6">
      <c r="A52" s="16" t="s">
        <v>361</v>
      </c>
      <c r="B52" s="16" t="str">
        <f t="shared" si="1"/>
        <v>Nombre d'étages non chauffés</v>
      </c>
      <c r="C52" s="18" t="s">
        <v>173</v>
      </c>
      <c r="D52" s="8" t="s">
        <v>1089</v>
      </c>
      <c r="E52" s="8" t="s">
        <v>868</v>
      </c>
      <c r="F52" s="8" t="s">
        <v>743</v>
      </c>
    </row>
    <row r="53" spans="1:6">
      <c r="A53" s="16" t="s">
        <v>362</v>
      </c>
      <c r="B53" s="16" t="str">
        <f t="shared" si="1"/>
        <v>Hauteur moyenne des locaux</v>
      </c>
      <c r="C53" s="18" t="s">
        <v>338</v>
      </c>
      <c r="D53" s="8" t="s">
        <v>1090</v>
      </c>
      <c r="E53" s="8" t="s">
        <v>869</v>
      </c>
      <c r="F53" s="8" t="s">
        <v>744</v>
      </c>
    </row>
    <row r="54" spans="1:6">
      <c r="A54" s="16" t="s">
        <v>353</v>
      </c>
      <c r="B54" s="16" t="str">
        <f t="shared" si="1"/>
        <v>Type de plan (quantité de parois intérieures)</v>
      </c>
      <c r="C54" s="18" t="s">
        <v>1769</v>
      </c>
      <c r="D54" s="8" t="s">
        <v>1772</v>
      </c>
      <c r="E54" s="8" t="s">
        <v>1770</v>
      </c>
      <c r="F54" s="8" t="s">
        <v>1771</v>
      </c>
    </row>
    <row r="55" spans="1:6">
      <c r="A55" s="16" t="s">
        <v>363</v>
      </c>
      <c r="B55" s="16" t="str">
        <f t="shared" si="1"/>
        <v>Installation PV (surface d'absorbeurs)</v>
      </c>
      <c r="C55" s="18" t="s">
        <v>339</v>
      </c>
      <c r="D55" s="8" t="s">
        <v>1744</v>
      </c>
      <c r="E55" s="8" t="s">
        <v>1759</v>
      </c>
      <c r="F55" s="8" t="s">
        <v>745</v>
      </c>
    </row>
    <row r="56" spans="1:6">
      <c r="A56" s="16" t="s">
        <v>356</v>
      </c>
      <c r="B56" s="16" t="str">
        <f t="shared" si="1"/>
        <v>Installation solaire therm. (surface d'absorb.)</v>
      </c>
      <c r="C56" s="18" t="s">
        <v>387</v>
      </c>
      <c r="D56" s="8" t="s">
        <v>1745</v>
      </c>
      <c r="E56" s="8" t="s">
        <v>1746</v>
      </c>
      <c r="F56" s="8" t="s">
        <v>746</v>
      </c>
    </row>
    <row r="57" spans="1:6">
      <c r="A57" s="16" t="s">
        <v>354</v>
      </c>
      <c r="B57" s="16" t="str">
        <f t="shared" si="1"/>
        <v>Surface de plancher</v>
      </c>
      <c r="C57" s="8" t="s">
        <v>178</v>
      </c>
      <c r="D57" s="8" t="s">
        <v>1092</v>
      </c>
      <c r="E57" s="8" t="s">
        <v>870</v>
      </c>
      <c r="F57" s="8" t="s">
        <v>747</v>
      </c>
    </row>
    <row r="58" spans="1:6">
      <c r="A58" s="16" t="s">
        <v>355</v>
      </c>
      <c r="B58" s="16" t="str">
        <f>INDEX($C58:$F58,1,MATCH(Sprachwahl,ListSprache,0))</f>
        <v>Surface de plancher des sous-sol</v>
      </c>
      <c r="C58" s="8" t="s">
        <v>181</v>
      </c>
      <c r="D58" s="8" t="s">
        <v>1093</v>
      </c>
      <c r="E58" s="8" t="s">
        <v>871</v>
      </c>
      <c r="F58" s="8" t="s">
        <v>748</v>
      </c>
    </row>
    <row r="59" spans="1:6">
      <c r="A59" s="16" t="s">
        <v>357</v>
      </c>
      <c r="B59" s="16" t="str">
        <f t="shared" si="1"/>
        <v>Nombre d'étages enterrés</v>
      </c>
      <c r="C59" s="18" t="s">
        <v>174</v>
      </c>
      <c r="D59" s="8" t="s">
        <v>1094</v>
      </c>
      <c r="E59" s="8" t="s">
        <v>872</v>
      </c>
      <c r="F59" s="8" t="s">
        <v>749</v>
      </c>
    </row>
    <row r="60" spans="1:6">
      <c r="A60" s="16" t="s">
        <v>368</v>
      </c>
      <c r="B60" s="16" t="str">
        <f t="shared" si="1"/>
        <v>Sonde géothermique</v>
      </c>
      <c r="C60" s="18" t="s">
        <v>172</v>
      </c>
      <c r="D60" s="8" t="s">
        <v>1095</v>
      </c>
      <c r="E60" s="8" t="s">
        <v>873</v>
      </c>
      <c r="F60" s="8" t="s">
        <v>750</v>
      </c>
    </row>
    <row r="61" spans="1:6">
      <c r="A61" s="16" t="s">
        <v>358</v>
      </c>
      <c r="B61" s="16" t="str">
        <f t="shared" si="1"/>
        <v>Standard énergétique du bâtiment</v>
      </c>
      <c r="C61" s="18" t="s">
        <v>324</v>
      </c>
      <c r="D61" s="8" t="s">
        <v>1096</v>
      </c>
      <c r="E61" s="8" t="s">
        <v>874</v>
      </c>
      <c r="F61" s="8" t="s">
        <v>751</v>
      </c>
    </row>
    <row r="62" spans="1:6">
      <c r="A62" s="16" t="s">
        <v>141</v>
      </c>
      <c r="B62" s="16" t="str">
        <f>INDEX($C62:$E62,1,MATCH(Sprachwahl,ListSprache,0))</f>
        <v>Eléments de construction et technique du bâtiment</v>
      </c>
      <c r="C62" s="8" t="s">
        <v>182</v>
      </c>
      <c r="D62" s="8" t="s">
        <v>1097</v>
      </c>
      <c r="E62" s="8" t="s">
        <v>875</v>
      </c>
      <c r="F62" s="8" t="s">
        <v>755</v>
      </c>
    </row>
    <row r="63" spans="1:6">
      <c r="A63" s="16" t="s">
        <v>165</v>
      </c>
      <c r="B63" s="16" t="str">
        <f>INDEX($C63:$E63,1,MATCH(Sprachwahl,ListSprache,0))</f>
        <v>eCCC-Bât</v>
      </c>
      <c r="C63" s="8" t="s">
        <v>179</v>
      </c>
      <c r="D63" s="8" t="s">
        <v>1098</v>
      </c>
      <c r="E63" s="8" t="s">
        <v>876</v>
      </c>
      <c r="F63" s="8" t="s">
        <v>179</v>
      </c>
    </row>
    <row r="64" spans="1:6">
      <c r="A64" s="16" t="s">
        <v>380</v>
      </c>
      <c r="B64" s="16" t="str">
        <f>INDEX($C64:$E64,1,MATCH(Sprachwahl,ListSprache,0))</f>
        <v>Désignation de l'élément de construction</v>
      </c>
      <c r="C64" s="8" t="s">
        <v>183</v>
      </c>
      <c r="D64" s="8" t="s">
        <v>1099</v>
      </c>
      <c r="E64" s="8" t="s">
        <v>877</v>
      </c>
      <c r="F64" s="8" t="s">
        <v>756</v>
      </c>
    </row>
    <row r="65" spans="1:6">
      <c r="A65" s="16" t="s">
        <v>381</v>
      </c>
      <c r="B65" s="16" t="str">
        <f>INDEX($C65:$E65,1,MATCH(Sprachwahl,ListSprache,0))</f>
        <v>Standard énergétique</v>
      </c>
      <c r="C65" s="8" t="s">
        <v>217</v>
      </c>
      <c r="D65" s="8" t="s">
        <v>1100</v>
      </c>
      <c r="E65" s="8" t="s">
        <v>878</v>
      </c>
      <c r="F65" s="8" t="s">
        <v>730</v>
      </c>
    </row>
    <row r="66" spans="1:6">
      <c r="A66" s="16" t="s">
        <v>382</v>
      </c>
      <c r="B66" s="16" t="str">
        <f t="shared" si="1"/>
        <v xml:space="preserve">Dimension
</v>
      </c>
      <c r="C66" s="8" t="s">
        <v>1734</v>
      </c>
      <c r="D66" s="8" t="s">
        <v>1735</v>
      </c>
      <c r="E66" s="8" t="s">
        <v>1736</v>
      </c>
      <c r="F66" s="8" t="s">
        <v>1737</v>
      </c>
    </row>
    <row r="67" spans="1:6">
      <c r="A67" s="16" t="s">
        <v>383</v>
      </c>
      <c r="B67" s="16" t="str">
        <f t="shared" si="1"/>
        <v>Unité</v>
      </c>
      <c r="C67" s="8" t="s">
        <v>1738</v>
      </c>
      <c r="D67" s="8" t="s">
        <v>1740</v>
      </c>
      <c r="E67" s="8" t="s">
        <v>1741</v>
      </c>
      <c r="F67" s="8" t="s">
        <v>1739</v>
      </c>
    </row>
    <row r="68" spans="1:6">
      <c r="A68" s="16" t="s">
        <v>384</v>
      </c>
      <c r="B68" s="16" t="str">
        <f t="shared" si="1"/>
        <v>Lien</v>
      </c>
      <c r="C68" s="8" t="s">
        <v>185</v>
      </c>
      <c r="D68" s="8" t="s">
        <v>1101</v>
      </c>
      <c r="E68" s="8" t="s">
        <v>185</v>
      </c>
      <c r="F68" s="8" t="s">
        <v>185</v>
      </c>
    </row>
    <row r="69" spans="1:6">
      <c r="A69" s="16" t="s">
        <v>385</v>
      </c>
      <c r="B69" s="16" t="str">
        <f t="shared" si="1"/>
        <v>EPnr
kWh/m2</v>
      </c>
      <c r="C69" s="8" t="s">
        <v>231</v>
      </c>
      <c r="D69" s="8" t="s">
        <v>1743</v>
      </c>
      <c r="E69" s="8" t="s">
        <v>1743</v>
      </c>
      <c r="F69" s="8" t="s">
        <v>231</v>
      </c>
    </row>
    <row r="70" spans="1:6">
      <c r="A70" s="16" t="s">
        <v>1733</v>
      </c>
      <c r="B70" s="16" t="str">
        <f>INDEX($C70:$F70,1,MATCH(Sprachwahl,ListSprache,0))</f>
        <v>EGES
kg/m2</v>
      </c>
      <c r="C70" s="8" t="s">
        <v>186</v>
      </c>
      <c r="D70" s="8" t="s">
        <v>1768</v>
      </c>
      <c r="E70" s="8" t="s">
        <v>1767</v>
      </c>
      <c r="F70" s="8" t="s">
        <v>1742</v>
      </c>
    </row>
    <row r="71" spans="1:6">
      <c r="A71" s="16" t="s">
        <v>367</v>
      </c>
      <c r="B71" s="16" t="str">
        <f t="shared" si="1"/>
        <v>Report provenant d'autres feuilles de calcul</v>
      </c>
      <c r="C71" s="8" t="s">
        <v>301</v>
      </c>
      <c r="D71" s="8" t="s">
        <v>1102</v>
      </c>
      <c r="E71" s="8" t="s">
        <v>879</v>
      </c>
      <c r="F71" s="8" t="s">
        <v>757</v>
      </c>
    </row>
    <row r="72" spans="1:6">
      <c r="A72" s="16" t="s">
        <v>386</v>
      </c>
      <c r="B72" s="16" t="str">
        <f t="shared" si="1"/>
        <v>Valeurs du projet</v>
      </c>
      <c r="C72" s="8" t="s">
        <v>292</v>
      </c>
      <c r="D72" s="8" t="s">
        <v>1070</v>
      </c>
      <c r="E72" s="8" t="s">
        <v>1803</v>
      </c>
      <c r="F72" s="8" t="s">
        <v>1804</v>
      </c>
    </row>
    <row r="73" spans="1:6">
      <c r="A73" s="16" t="s">
        <v>337</v>
      </c>
      <c r="B73" s="16" t="str">
        <f t="shared" si="1"/>
        <v>Erreur de saisie</v>
      </c>
      <c r="C73" s="39" t="s">
        <v>335</v>
      </c>
      <c r="D73" s="8" t="s">
        <v>1103</v>
      </c>
      <c r="E73" s="8" t="s">
        <v>880</v>
      </c>
      <c r="F73" s="8" t="s">
        <v>731</v>
      </c>
    </row>
    <row r="74" spans="1:6">
      <c r="A74" s="16" t="s">
        <v>184</v>
      </c>
      <c r="B74" s="16" t="str">
        <f t="shared" si="1"/>
        <v>Installation de ventilation</v>
      </c>
      <c r="C74" s="8" t="s">
        <v>371</v>
      </c>
      <c r="D74" s="8" t="s">
        <v>1747</v>
      </c>
      <c r="E74" s="8" t="s">
        <v>1034</v>
      </c>
      <c r="F74" s="8" t="s">
        <v>732</v>
      </c>
    </row>
    <row r="75" spans="1:6">
      <c r="A75" s="16" t="s">
        <v>379</v>
      </c>
      <c r="B75" s="16" t="str">
        <f t="shared" si="1"/>
        <v xml:space="preserve">Installation sanitaires </v>
      </c>
      <c r="C75" s="8" t="s">
        <v>372</v>
      </c>
      <c r="D75" s="8" t="s">
        <v>1748</v>
      </c>
      <c r="E75" s="8" t="s">
        <v>1753</v>
      </c>
      <c r="F75" s="8" t="s">
        <v>733</v>
      </c>
    </row>
    <row r="76" spans="1:6">
      <c r="A76" s="16" t="s">
        <v>378</v>
      </c>
      <c r="B76" s="16" t="str">
        <f t="shared" si="1"/>
        <v>Installation électrique</v>
      </c>
      <c r="C76" s="8" t="s">
        <v>373</v>
      </c>
      <c r="D76" s="8" t="s">
        <v>1749</v>
      </c>
      <c r="E76" s="8" t="s">
        <v>1754</v>
      </c>
      <c r="F76" s="8" t="s">
        <v>734</v>
      </c>
    </row>
    <row r="77" spans="1:6">
      <c r="A77" s="16" t="s">
        <v>369</v>
      </c>
      <c r="B77" s="16" t="str">
        <f t="shared" si="1"/>
        <v>Production de chaleur</v>
      </c>
      <c r="C77" s="8" t="s">
        <v>374</v>
      </c>
      <c r="D77" s="8" t="s">
        <v>1750</v>
      </c>
      <c r="E77" s="8" t="s">
        <v>1755</v>
      </c>
      <c r="F77" s="8" t="s">
        <v>758</v>
      </c>
    </row>
    <row r="78" spans="1:6">
      <c r="A78" s="16" t="s">
        <v>370</v>
      </c>
      <c r="B78" s="16" t="str">
        <f t="shared" si="1"/>
        <v>Distribution de chaleur</v>
      </c>
      <c r="C78" s="8" t="s">
        <v>375</v>
      </c>
      <c r="D78" s="8" t="s">
        <v>1751</v>
      </c>
      <c r="E78" s="8" t="s">
        <v>1756</v>
      </c>
      <c r="F78" s="8" t="s">
        <v>735</v>
      </c>
    </row>
    <row r="79" spans="1:6">
      <c r="A79" s="16" t="s">
        <v>377</v>
      </c>
      <c r="B79" s="16" t="str">
        <f t="shared" si="1"/>
        <v>Diffusion de chaleur</v>
      </c>
      <c r="C79" s="8" t="s">
        <v>376</v>
      </c>
      <c r="D79" s="8" t="s">
        <v>1752</v>
      </c>
      <c r="E79" s="8" t="s">
        <v>1757</v>
      </c>
      <c r="F79" s="8" t="s">
        <v>759</v>
      </c>
    </row>
    <row r="80" spans="1:6">
      <c r="A80" s="16" t="s">
        <v>2361</v>
      </c>
      <c r="B80" s="16" t="str">
        <f t="shared" si="1"/>
        <v>Résultat</v>
      </c>
      <c r="C80" s="8" t="s">
        <v>442</v>
      </c>
      <c r="D80" s="8" t="s">
        <v>109</v>
      </c>
      <c r="E80" s="8" t="s">
        <v>110</v>
      </c>
      <c r="F80" s="8" t="s">
        <v>111</v>
      </c>
    </row>
    <row r="81" spans="1:6">
      <c r="A81" s="16"/>
      <c r="B81" s="16">
        <f t="shared" si="1"/>
        <v>0</v>
      </c>
    </row>
    <row r="82" spans="1:6">
      <c r="A82" s="16"/>
      <c r="B82" s="16">
        <f t="shared" si="1"/>
        <v>0</v>
      </c>
    </row>
    <row r="83" spans="1:6">
      <c r="A83" s="16"/>
      <c r="B83" s="16">
        <f t="shared" si="1"/>
        <v>0</v>
      </c>
    </row>
    <row r="84" spans="1:6">
      <c r="A84" s="16"/>
      <c r="B84" s="16">
        <f t="shared" si="1"/>
        <v>0</v>
      </c>
    </row>
    <row r="85" spans="1:6">
      <c r="D85" s="17"/>
    </row>
    <row r="86" spans="1:6">
      <c r="A86" s="10" t="str">
        <f>"Tabelle "&amp;SheetQuestionaire</f>
        <v>Tabelle Questionnaire_modernisations</v>
      </c>
      <c r="B86" s="10"/>
      <c r="C86" s="10"/>
      <c r="D86" s="61"/>
      <c r="E86" s="10"/>
      <c r="F86" s="10"/>
    </row>
    <row r="87" spans="1:6">
      <c r="A87" s="10" t="s">
        <v>37</v>
      </c>
      <c r="B87" s="10" t="s">
        <v>38</v>
      </c>
      <c r="C87" s="10" t="str">
        <f>C$4</f>
        <v>Deutsch</v>
      </c>
      <c r="D87" s="61" t="str">
        <f>D$4</f>
        <v>Francais</v>
      </c>
      <c r="E87" s="10" t="str">
        <f>E$4</f>
        <v>Italiano</v>
      </c>
      <c r="F87" s="10" t="str">
        <f>F$4</f>
        <v>English</v>
      </c>
    </row>
    <row r="88" spans="1:6">
      <c r="A88" s="16" t="s">
        <v>40</v>
      </c>
      <c r="B88" s="16" t="str">
        <f t="shared" ref="B88:B109" si="2">INDEX($C88:$F88,1,MATCH(Sprachwahl,ListSprache,0))</f>
        <v>Questionnaire rénovation pour l'énergie grise/GES</v>
      </c>
      <c r="C88" s="8" t="s">
        <v>2410</v>
      </c>
      <c r="D88" s="8" t="s">
        <v>2408</v>
      </c>
      <c r="E88" s="84" t="s">
        <v>2409</v>
      </c>
      <c r="F88" s="8" t="s">
        <v>93</v>
      </c>
    </row>
    <row r="89" spans="1:6">
      <c r="A89" s="16" t="s">
        <v>39</v>
      </c>
      <c r="B89" s="16" t="str">
        <f t="shared" si="2"/>
        <v>Questions</v>
      </c>
      <c r="C89" s="8" t="s">
        <v>17</v>
      </c>
      <c r="D89" s="8" t="s">
        <v>1104</v>
      </c>
      <c r="E89" s="84" t="s">
        <v>90</v>
      </c>
      <c r="F89" s="8" t="s">
        <v>94</v>
      </c>
    </row>
    <row r="90" spans="1:6">
      <c r="A90" s="16" t="s">
        <v>56</v>
      </c>
      <c r="B90" s="16" t="str">
        <f t="shared" si="2"/>
        <v>Réponse</v>
      </c>
      <c r="C90" s="8" t="s">
        <v>18</v>
      </c>
      <c r="D90" s="8" t="s">
        <v>72</v>
      </c>
      <c r="E90" s="84" t="s">
        <v>91</v>
      </c>
      <c r="F90" s="8" t="s">
        <v>95</v>
      </c>
    </row>
    <row r="91" spans="1:6">
      <c r="A91" s="16" t="s">
        <v>41</v>
      </c>
      <c r="B91" s="16" t="str">
        <f t="shared" si="2"/>
        <v>Taille de l'objet</v>
      </c>
      <c r="C91" s="8" t="s">
        <v>166</v>
      </c>
      <c r="D91" s="8" t="s">
        <v>1105</v>
      </c>
      <c r="E91" s="84" t="s">
        <v>881</v>
      </c>
      <c r="F91" s="8" t="s">
        <v>1304</v>
      </c>
    </row>
    <row r="92" spans="1:6" ht="37.299999999999997">
      <c r="A92" s="16" t="s">
        <v>159</v>
      </c>
      <c r="B92" s="16" t="str">
        <f t="shared" si="2"/>
        <v>Il s'agit soit d'un immeuble locatif avec une surface de référence énergétique (SRE) de moins de 5'000 m2 ou d'une autre catégorie de bâtiment avec une SRE de moins de 2'000 m2.</v>
      </c>
      <c r="C92" s="8" t="s">
        <v>155</v>
      </c>
      <c r="D92" s="8" t="s">
        <v>1785</v>
      </c>
      <c r="E92" s="84" t="s">
        <v>2423</v>
      </c>
      <c r="F92" s="8" t="s">
        <v>1305</v>
      </c>
    </row>
    <row r="93" spans="1:6">
      <c r="A93" s="16" t="s">
        <v>57</v>
      </c>
      <c r="B93" s="16" t="str">
        <f t="shared" si="2"/>
        <v>Compacité</v>
      </c>
      <c r="C93" s="8" t="s">
        <v>167</v>
      </c>
      <c r="D93" s="8" t="s">
        <v>1106</v>
      </c>
      <c r="E93" s="84" t="s">
        <v>882</v>
      </c>
      <c r="F93" s="8" t="s">
        <v>1306</v>
      </c>
    </row>
    <row r="94" spans="1:6" ht="24.9">
      <c r="A94" s="16" t="s">
        <v>160</v>
      </c>
      <c r="B94" s="16" t="str">
        <f t="shared" si="2"/>
        <v>La compacité du bâtiment est restée inchangée ou s'est améliorée (rapport entre le facteur d'enveloppe thermique Ath et la surface de référence énergétique AE)</v>
      </c>
      <c r="C94" s="8" t="s">
        <v>157</v>
      </c>
      <c r="D94" s="8" t="s">
        <v>1107</v>
      </c>
      <c r="E94" s="84" t="s">
        <v>2418</v>
      </c>
      <c r="F94" s="8" t="s">
        <v>1307</v>
      </c>
    </row>
    <row r="95" spans="1:6">
      <c r="A95" s="16" t="s">
        <v>58</v>
      </c>
      <c r="B95" s="16" t="str">
        <f t="shared" si="2"/>
        <v>Degrés d'intervention</v>
      </c>
      <c r="C95" s="8" t="s">
        <v>168</v>
      </c>
      <c r="D95" s="8" t="s">
        <v>1108</v>
      </c>
      <c r="E95" s="84" t="s">
        <v>2419</v>
      </c>
      <c r="F95" s="8" t="s">
        <v>1308</v>
      </c>
    </row>
    <row r="96" spans="1:6" ht="24.9">
      <c r="A96" s="16" t="s">
        <v>161</v>
      </c>
      <c r="B96" s="16" t="str">
        <f t="shared" si="2"/>
        <v>La majeure partie des éléments de construction existants est conservée (pas d'évidemment, pas de déconstruction jusqu'au gros œuvre).</v>
      </c>
      <c r="C96" s="8" t="s">
        <v>156</v>
      </c>
      <c r="D96" s="8" t="s">
        <v>1109</v>
      </c>
      <c r="E96" s="84" t="s">
        <v>2420</v>
      </c>
      <c r="F96" s="8" t="s">
        <v>1309</v>
      </c>
    </row>
    <row r="97" spans="1:6">
      <c r="A97" s="16" t="s">
        <v>43</v>
      </c>
      <c r="B97" s="16" t="str">
        <f t="shared" si="2"/>
        <v>Construction parois extérieures au-dessus du terrain et toiture</v>
      </c>
      <c r="C97" s="8" t="s">
        <v>169</v>
      </c>
      <c r="D97" s="8" t="s">
        <v>1110</v>
      </c>
      <c r="E97" s="84" t="s">
        <v>2421</v>
      </c>
      <c r="F97" s="8" t="s">
        <v>1310</v>
      </c>
    </row>
    <row r="98" spans="1:6" ht="136.75">
      <c r="A98" s="16" t="s">
        <v>162</v>
      </c>
      <c r="B98" s="16" t="str">
        <f t="shared" si="2"/>
        <v>Les parois extérieures au-dessus du terrain et la toiture non pas été rénovées resp. renouvelées avec une matérialisation identique (mis à part les couches d'isolation supplémentaires).
Ou les parois extérieures remplacées ou construites à neuf appartiennent à un des systèmes constructifs suivants:
- Parois massive simple avec revêtement léger (bois, dérivés du bois, fibres-ciment, éléments en béton &lt; 8cm, panneaux photovoltaïques, etc.)
- Ossature bois avec isolation extérieure crépie ou revêtement léger
- Parois massive simple avec isolation extérieure crépie</v>
      </c>
      <c r="C98" s="17" t="s">
        <v>2426</v>
      </c>
      <c r="D98" s="17" t="s">
        <v>2434</v>
      </c>
      <c r="E98" s="84" t="s">
        <v>2424</v>
      </c>
      <c r="F98" s="8" t="s">
        <v>1311</v>
      </c>
    </row>
    <row r="99" spans="1:6">
      <c r="A99" s="16" t="s">
        <v>59</v>
      </c>
      <c r="B99" s="16" t="str">
        <f t="shared" si="2"/>
        <v>Agrandissements</v>
      </c>
      <c r="C99" s="8" t="s">
        <v>170</v>
      </c>
      <c r="D99" s="8" t="s">
        <v>2428</v>
      </c>
      <c r="E99" s="84" t="s">
        <v>883</v>
      </c>
      <c r="F99" s="8" t="s">
        <v>1312</v>
      </c>
    </row>
    <row r="100" spans="1:6" ht="62.15">
      <c r="A100" s="16" t="s">
        <v>163</v>
      </c>
      <c r="B100" s="16" t="str">
        <f t="shared" si="2"/>
        <v xml:space="preserve">Le volume du bâtiment n'a pas été agrandi (mis à part les agrandissements résultant de couches d'isolation supplémentaires).
Ou la surface de plancher du volume supplémentaire s'élève à moins de 20% de la surface existante de plancher. </v>
      </c>
      <c r="C100" s="17" t="s">
        <v>2427</v>
      </c>
      <c r="D100" s="17" t="s">
        <v>2429</v>
      </c>
      <c r="E100" s="84" t="s">
        <v>2422</v>
      </c>
      <c r="F100" s="8" t="s">
        <v>1313</v>
      </c>
    </row>
    <row r="101" spans="1:6">
      <c r="A101" s="16" t="s">
        <v>154</v>
      </c>
      <c r="B101" s="16" t="str">
        <f t="shared" si="2"/>
        <v>Fenêtres</v>
      </c>
      <c r="C101" s="8" t="s">
        <v>22</v>
      </c>
      <c r="D101" s="8" t="s">
        <v>1111</v>
      </c>
      <c r="E101" s="84" t="s">
        <v>884</v>
      </c>
      <c r="F101" s="8" t="s">
        <v>1314</v>
      </c>
    </row>
    <row r="102" spans="1:6" ht="49.75">
      <c r="A102" s="16" t="s">
        <v>164</v>
      </c>
      <c r="B102" s="16" t="str">
        <f t="shared" si="2"/>
        <v>Les surfaces vitrées de la façade et de la toiture ont été agrandies de 20% au maximum et les cadres des fenêtres remplacées ou fenêtres nouvelles sont en bois ou bois-métal.</v>
      </c>
      <c r="C102" s="17" t="s">
        <v>2425</v>
      </c>
      <c r="D102" s="8" t="s">
        <v>2433</v>
      </c>
      <c r="E102" s="84" t="s">
        <v>2417</v>
      </c>
      <c r="F102" s="8" t="s">
        <v>1315</v>
      </c>
    </row>
    <row r="103" spans="1:6">
      <c r="A103" s="16" t="s">
        <v>44</v>
      </c>
      <c r="B103" s="16" t="str">
        <f t="shared" si="2"/>
        <v>Adaptations de la structure porteuse</v>
      </c>
      <c r="C103" s="8" t="s">
        <v>171</v>
      </c>
      <c r="D103" s="8" t="s">
        <v>1112</v>
      </c>
      <c r="E103" s="84" t="s">
        <v>885</v>
      </c>
      <c r="F103" s="8" t="s">
        <v>1316</v>
      </c>
    </row>
    <row r="104" spans="1:6" ht="37.299999999999997">
      <c r="A104" s="16" t="s">
        <v>165</v>
      </c>
      <c r="B104" s="16" t="str">
        <f t="shared" si="2"/>
        <v>Les éléments porteurs du bâtiment ne sont pas modifiés (excepté des percements isolés jusqu'à une surface de 3 m2 dans les parois porteurs ainsi que des renforts parasismiques).</v>
      </c>
      <c r="C104" s="8" t="s">
        <v>158</v>
      </c>
      <c r="D104" s="8" t="s">
        <v>1786</v>
      </c>
      <c r="E104" s="84" t="s">
        <v>886</v>
      </c>
      <c r="F104" s="8" t="s">
        <v>1317</v>
      </c>
    </row>
    <row r="105" spans="1:6">
      <c r="A105" s="16" t="s">
        <v>60</v>
      </c>
      <c r="B105" s="16" t="str">
        <f t="shared" si="2"/>
        <v>Résultat</v>
      </c>
      <c r="C105" s="8" t="s">
        <v>108</v>
      </c>
      <c r="D105" s="8" t="s">
        <v>109</v>
      </c>
      <c r="E105" s="84" t="s">
        <v>110</v>
      </c>
      <c r="F105" s="8" t="s">
        <v>111</v>
      </c>
    </row>
    <row r="106" spans="1:6" ht="24.9">
      <c r="A106" s="16" t="s">
        <v>61</v>
      </c>
      <c r="B106" s="16" t="str">
        <f t="shared" si="2"/>
        <v>REMPLIR CETTE FEUILLE UNIQUEMENT POUR LES PROJETS DE MODERNISATION</v>
      </c>
      <c r="C106" s="8" t="s">
        <v>2407</v>
      </c>
      <c r="D106" s="8" t="s">
        <v>1113</v>
      </c>
      <c r="E106" s="84" t="s">
        <v>92</v>
      </c>
      <c r="F106" s="8" t="s">
        <v>96</v>
      </c>
    </row>
    <row r="107" spans="1:6" s="60" customFormat="1" ht="24.9">
      <c r="A107" s="83" t="s">
        <v>61</v>
      </c>
      <c r="B107" s="83" t="str">
        <f t="shared" si="2"/>
        <v>Les exigences Minergie-ECO pour rénovations sont remplies.
Un calcul détaillé n'est pas nécessaire.</v>
      </c>
      <c r="C107" s="84" t="s">
        <v>2411</v>
      </c>
      <c r="D107" s="84" t="s">
        <v>2412</v>
      </c>
      <c r="E107" s="84" t="s">
        <v>2413</v>
      </c>
      <c r="F107" s="84" t="s">
        <v>2414</v>
      </c>
    </row>
    <row r="108" spans="1:6">
      <c r="A108" s="16" t="s">
        <v>61</v>
      </c>
      <c r="B108" s="16" t="str">
        <f t="shared" si="2"/>
        <v>Merci d'effectuer un calcul détaillé.</v>
      </c>
      <c r="C108" s="8" t="str">
        <f>"Bitte führen Sie eine detaillierte Berechnung durch."</f>
        <v>Bitte führen Sie eine detaillierte Berechnung durch.</v>
      </c>
      <c r="D108" s="8" t="str">
        <f>"Merci d'effectuer un calcul détaillé."</f>
        <v>Merci d'effectuer un calcul détaillé.</v>
      </c>
      <c r="E108" s="84" t="str">
        <f>"Eseguire un calcolo dettagliato."</f>
        <v>Eseguire un calcolo dettagliato.</v>
      </c>
      <c r="F108" s="8" t="str">
        <f>"Please carry out a detailed calculation (sheet '"&amp;SheetBuildgData&amp;"')"</f>
        <v>Please carry out a detailed calculation (sheet 'Calcul')</v>
      </c>
    </row>
    <row r="109" spans="1:6">
      <c r="A109" s="16" t="s">
        <v>61</v>
      </c>
      <c r="B109" s="16" t="str">
        <f t="shared" si="2"/>
        <v>Merci de remplir le questionnaire intégralement.</v>
      </c>
      <c r="C109" s="8" t="s">
        <v>389</v>
      </c>
      <c r="D109" s="8" t="s">
        <v>1114</v>
      </c>
      <c r="E109" s="84" t="s">
        <v>2416</v>
      </c>
      <c r="F109" s="8" t="s">
        <v>1318</v>
      </c>
    </row>
    <row r="110" spans="1:6">
      <c r="D110" s="17"/>
    </row>
    <row r="111" spans="1:6">
      <c r="A111" s="10" t="s">
        <v>54</v>
      </c>
      <c r="B111" s="10"/>
      <c r="C111" s="10"/>
      <c r="D111" s="61"/>
      <c r="E111" s="10"/>
      <c r="F111" s="10"/>
    </row>
    <row r="112" spans="1:6">
      <c r="A112" s="10" t="s">
        <v>37</v>
      </c>
      <c r="B112" s="10" t="s">
        <v>38</v>
      </c>
      <c r="C112" s="10" t="str">
        <f>C$4</f>
        <v>Deutsch</v>
      </c>
      <c r="D112" s="61" t="str">
        <f>D$4</f>
        <v>Francais</v>
      </c>
      <c r="E112" s="10" t="str">
        <f>E$4</f>
        <v>Italiano</v>
      </c>
      <c r="F112" s="10" t="str">
        <f>F$4</f>
        <v>English</v>
      </c>
    </row>
    <row r="113" spans="1:6">
      <c r="A113" s="16" t="s">
        <v>332</v>
      </c>
      <c r="B113" s="16" t="str">
        <f t="shared" ref="B113:B147" si="3">INDEX($C113:$F113,1,MATCH(Sprachwahl,ListSprache,0))</f>
        <v>Habitat collectif</v>
      </c>
      <c r="C113" s="39" t="s">
        <v>147</v>
      </c>
      <c r="D113" s="62" t="s">
        <v>1115</v>
      </c>
      <c r="E113" s="39" t="s">
        <v>887</v>
      </c>
      <c r="F113" s="8" t="s">
        <v>1328</v>
      </c>
    </row>
    <row r="114" spans="1:6">
      <c r="A114" s="16"/>
      <c r="B114" s="16" t="str">
        <f t="shared" si="3"/>
        <v>Petit immeuble locatif</v>
      </c>
      <c r="C114" s="39" t="s">
        <v>323</v>
      </c>
      <c r="D114" s="62" t="s">
        <v>1116</v>
      </c>
      <c r="E114" s="39" t="s">
        <v>888</v>
      </c>
      <c r="F114" s="8" t="s">
        <v>1319</v>
      </c>
    </row>
    <row r="115" spans="1:6">
      <c r="A115" s="16"/>
      <c r="B115" s="16" t="str">
        <f t="shared" si="3"/>
        <v>Administration</v>
      </c>
      <c r="C115" s="39" t="s">
        <v>21</v>
      </c>
      <c r="D115" s="62" t="s">
        <v>1117</v>
      </c>
      <c r="E115" s="39" t="s">
        <v>889</v>
      </c>
      <c r="F115" s="8" t="s">
        <v>1320</v>
      </c>
    </row>
    <row r="116" spans="1:6">
      <c r="A116" s="16"/>
      <c r="B116" s="16" t="str">
        <f t="shared" si="3"/>
        <v>Ecoles</v>
      </c>
      <c r="C116" s="39" t="s">
        <v>3</v>
      </c>
      <c r="D116" s="62" t="s">
        <v>1118</v>
      </c>
      <c r="E116" s="39" t="s">
        <v>890</v>
      </c>
      <c r="F116" s="8" t="s">
        <v>1321</v>
      </c>
    </row>
    <row r="117" spans="1:6">
      <c r="A117" s="16"/>
      <c r="B117" s="16" t="str">
        <f t="shared" si="3"/>
        <v>Commerce</v>
      </c>
      <c r="C117" s="39" t="s">
        <v>148</v>
      </c>
      <c r="D117" s="62" t="s">
        <v>1119</v>
      </c>
      <c r="E117" s="39" t="s">
        <v>891</v>
      </c>
      <c r="F117" s="8" t="s">
        <v>1322</v>
      </c>
    </row>
    <row r="118" spans="1:6">
      <c r="A118" s="16"/>
      <c r="B118" s="16" t="str">
        <f t="shared" si="3"/>
        <v>Restauration</v>
      </c>
      <c r="C118" s="39" t="s">
        <v>2</v>
      </c>
      <c r="D118" s="17" t="s">
        <v>1120</v>
      </c>
      <c r="E118" s="8" t="s">
        <v>892</v>
      </c>
      <c r="F118" s="8" t="s">
        <v>2</v>
      </c>
    </row>
    <row r="119" spans="1:6">
      <c r="A119" s="16"/>
      <c r="B119" s="16" t="str">
        <f t="shared" si="3"/>
        <v>Musées</v>
      </c>
      <c r="C119" s="39" t="s">
        <v>321</v>
      </c>
      <c r="D119" s="17" t="s">
        <v>1121</v>
      </c>
      <c r="E119" s="8" t="s">
        <v>893</v>
      </c>
      <c r="F119" s="8" t="s">
        <v>1323</v>
      </c>
    </row>
    <row r="120" spans="1:6">
      <c r="A120" s="16"/>
      <c r="B120" s="16" t="str">
        <f t="shared" si="3"/>
        <v>Hôpitaux</v>
      </c>
      <c r="C120" s="39" t="s">
        <v>149</v>
      </c>
      <c r="D120" s="62" t="s">
        <v>1122</v>
      </c>
      <c r="E120" s="39" t="s">
        <v>894</v>
      </c>
      <c r="F120" s="8" t="s">
        <v>1324</v>
      </c>
    </row>
    <row r="121" spans="1:6">
      <c r="A121" s="16"/>
      <c r="B121" s="16" t="str">
        <f t="shared" si="3"/>
        <v>Industrie</v>
      </c>
      <c r="C121" s="39" t="s">
        <v>150</v>
      </c>
      <c r="D121" s="62" t="s">
        <v>1123</v>
      </c>
      <c r="E121" s="39" t="s">
        <v>895</v>
      </c>
      <c r="F121" s="8" t="s">
        <v>1325</v>
      </c>
    </row>
    <row r="122" spans="1:6">
      <c r="A122" s="16"/>
      <c r="B122" s="16" t="str">
        <f t="shared" si="3"/>
        <v>Ecoles de petite taille</v>
      </c>
      <c r="C122" s="40" t="s">
        <v>322</v>
      </c>
      <c r="D122" s="14" t="s">
        <v>1124</v>
      </c>
      <c r="E122" s="40" t="s">
        <v>896</v>
      </c>
      <c r="F122" s="8" t="s">
        <v>1326</v>
      </c>
    </row>
    <row r="123" spans="1:6">
      <c r="A123" s="16"/>
      <c r="B123" s="16" t="str">
        <f t="shared" si="3"/>
        <v>Installations sportives</v>
      </c>
      <c r="C123" s="40" t="s">
        <v>151</v>
      </c>
      <c r="D123" s="14" t="s">
        <v>1125</v>
      </c>
      <c r="E123" s="40" t="s">
        <v>897</v>
      </c>
      <c r="F123" s="8" t="s">
        <v>1327</v>
      </c>
    </row>
    <row r="124" spans="1:6">
      <c r="A124" s="16"/>
      <c r="B124" s="16">
        <f t="shared" si="3"/>
        <v>0</v>
      </c>
      <c r="C124" s="39"/>
      <c r="D124" s="62"/>
      <c r="E124" s="39"/>
    </row>
    <row r="125" spans="1:6">
      <c r="A125" s="16" t="s">
        <v>333</v>
      </c>
      <c r="B125" s="16" t="str">
        <f t="shared" si="3"/>
        <v>Administration</v>
      </c>
      <c r="C125" s="39" t="s">
        <v>21</v>
      </c>
      <c r="D125" s="62" t="s">
        <v>1117</v>
      </c>
      <c r="E125" s="39" t="s">
        <v>889</v>
      </c>
      <c r="F125" s="8" t="s">
        <v>1320</v>
      </c>
    </row>
    <row r="126" spans="1:6">
      <c r="A126" s="16"/>
      <c r="B126" s="16" t="str">
        <f t="shared" si="3"/>
        <v>Ecoles</v>
      </c>
      <c r="C126" s="9" t="s">
        <v>3</v>
      </c>
      <c r="D126" s="62" t="s">
        <v>1126</v>
      </c>
      <c r="E126" s="39" t="s">
        <v>890</v>
      </c>
      <c r="F126" s="8" t="s">
        <v>1321</v>
      </c>
    </row>
    <row r="127" spans="1:6">
      <c r="A127" s="16"/>
      <c r="B127" s="16" t="str">
        <f t="shared" si="3"/>
        <v>Habitat collectif</v>
      </c>
      <c r="C127" s="9" t="s">
        <v>147</v>
      </c>
      <c r="D127" s="62" t="s">
        <v>1127</v>
      </c>
      <c r="E127" s="39" t="s">
        <v>898</v>
      </c>
      <c r="F127" s="8" t="s">
        <v>1328</v>
      </c>
    </row>
    <row r="128" spans="1:6">
      <c r="A128" s="16"/>
      <c r="B128" s="16">
        <f t="shared" si="3"/>
        <v>0</v>
      </c>
      <c r="C128" s="39"/>
      <c r="D128" s="62"/>
      <c r="E128" s="39"/>
    </row>
    <row r="129" spans="1:6">
      <c r="A129" s="16" t="s">
        <v>334</v>
      </c>
      <c r="B129" s="16" t="str">
        <f t="shared" si="3"/>
        <v>Habitat</v>
      </c>
      <c r="C129" s="39" t="s">
        <v>245</v>
      </c>
      <c r="D129" s="62" t="s">
        <v>1128</v>
      </c>
      <c r="E129" s="39" t="s">
        <v>899</v>
      </c>
      <c r="F129" s="8" t="s">
        <v>1328</v>
      </c>
    </row>
    <row r="130" spans="1:6">
      <c r="A130" s="16"/>
      <c r="B130" s="16" t="str">
        <f t="shared" si="3"/>
        <v>Administration</v>
      </c>
      <c r="C130" s="5" t="s">
        <v>21</v>
      </c>
      <c r="D130" s="62" t="s">
        <v>1117</v>
      </c>
      <c r="E130" s="39" t="s">
        <v>889</v>
      </c>
      <c r="F130" s="8" t="s">
        <v>1320</v>
      </c>
    </row>
    <row r="131" spans="1:6">
      <c r="A131" s="16"/>
      <c r="B131" s="16" t="str">
        <f t="shared" si="3"/>
        <v>Ecoles</v>
      </c>
      <c r="C131" s="5" t="s">
        <v>3</v>
      </c>
      <c r="D131" s="62" t="s">
        <v>1126</v>
      </c>
      <c r="E131" s="39" t="s">
        <v>890</v>
      </c>
      <c r="F131" s="8" t="s">
        <v>1321</v>
      </c>
    </row>
    <row r="132" spans="1:6">
      <c r="A132" s="16"/>
      <c r="B132" s="16" t="str">
        <f t="shared" si="3"/>
        <v>Magasin spécialisé</v>
      </c>
      <c r="C132" s="5" t="s">
        <v>310</v>
      </c>
      <c r="D132" s="62" t="s">
        <v>1129</v>
      </c>
      <c r="E132" s="39" t="s">
        <v>900</v>
      </c>
      <c r="F132" s="8" t="s">
        <v>1329</v>
      </c>
    </row>
    <row r="133" spans="1:6">
      <c r="A133" s="16"/>
      <c r="B133" s="16" t="str">
        <f t="shared" si="3"/>
        <v>Magasin d'alimentation</v>
      </c>
      <c r="C133" s="5" t="s">
        <v>311</v>
      </c>
      <c r="D133" s="62" t="s">
        <v>1130</v>
      </c>
      <c r="E133" s="39" t="s">
        <v>901</v>
      </c>
      <c r="F133" s="8" t="s">
        <v>1330</v>
      </c>
    </row>
    <row r="134" spans="1:6">
      <c r="A134" s="16"/>
      <c r="B134" s="16" t="str">
        <f t="shared" si="3"/>
        <v>Restauration</v>
      </c>
      <c r="C134" s="5" t="s">
        <v>2</v>
      </c>
      <c r="D134" s="62" t="s">
        <v>1131</v>
      </c>
      <c r="E134" s="39" t="s">
        <v>892</v>
      </c>
      <c r="F134" s="8" t="s">
        <v>2</v>
      </c>
    </row>
    <row r="135" spans="1:6">
      <c r="A135" s="16"/>
      <c r="B135" s="16">
        <f t="shared" si="3"/>
        <v>0</v>
      </c>
      <c r="C135" s="39"/>
      <c r="D135" s="62"/>
      <c r="E135" s="39"/>
    </row>
    <row r="136" spans="1:6">
      <c r="A136" s="16"/>
      <c r="B136" s="16">
        <f t="shared" si="3"/>
        <v>0</v>
      </c>
      <c r="C136" s="39"/>
      <c r="D136" s="62"/>
      <c r="E136" s="39"/>
    </row>
    <row r="137" spans="1:6">
      <c r="A137" s="16" t="s">
        <v>320</v>
      </c>
      <c r="B137" s="16" t="str">
        <f t="shared" si="3"/>
        <v>Peu (p. ex. loft)</v>
      </c>
      <c r="C137" s="5" t="s">
        <v>1779</v>
      </c>
      <c r="D137" s="62" t="s">
        <v>1782</v>
      </c>
      <c r="E137" s="39" t="s">
        <v>1774</v>
      </c>
      <c r="F137" s="8" t="s">
        <v>1776</v>
      </c>
    </row>
    <row r="138" spans="1:6">
      <c r="A138" s="16"/>
      <c r="B138" s="16" t="str">
        <f t="shared" si="3"/>
        <v xml:space="preserve">Nombre usuel </v>
      </c>
      <c r="C138" s="5" t="s">
        <v>1781</v>
      </c>
      <c r="D138" s="62" t="s">
        <v>1783</v>
      </c>
      <c r="E138" s="39" t="s">
        <v>1773</v>
      </c>
      <c r="F138" s="8" t="s">
        <v>1777</v>
      </c>
    </row>
    <row r="139" spans="1:6">
      <c r="A139" s="16"/>
      <c r="B139" s="16" t="str">
        <f t="shared" si="3"/>
        <v>Nombre élevé (p. ex. hôtel)</v>
      </c>
      <c r="C139" s="5" t="s">
        <v>1780</v>
      </c>
      <c r="D139" s="62" t="s">
        <v>1784</v>
      </c>
      <c r="E139" s="39" t="s">
        <v>1775</v>
      </c>
      <c r="F139" s="8" t="s">
        <v>1778</v>
      </c>
    </row>
    <row r="140" spans="1:6">
      <c r="A140" s="16"/>
      <c r="B140" s="16">
        <f t="shared" si="3"/>
        <v>0</v>
      </c>
      <c r="C140" s="39"/>
      <c r="D140" s="62"/>
      <c r="E140" s="39"/>
    </row>
    <row r="141" spans="1:6">
      <c r="A141" s="16" t="s">
        <v>337</v>
      </c>
      <c r="B141" s="16" t="str">
        <f t="shared" si="3"/>
        <v>Erreur de saisie</v>
      </c>
      <c r="C141" s="39" t="s">
        <v>335</v>
      </c>
      <c r="D141" s="17" t="s">
        <v>1103</v>
      </c>
      <c r="E141" s="39" t="s">
        <v>902</v>
      </c>
      <c r="F141" s="8" t="s">
        <v>1331</v>
      </c>
    </row>
    <row r="142" spans="1:6">
      <c r="A142" s="16"/>
      <c r="B142" s="16">
        <f t="shared" si="3"/>
        <v>0</v>
      </c>
      <c r="C142" s="39"/>
      <c r="D142" s="62"/>
      <c r="E142" s="39"/>
    </row>
    <row r="143" spans="1:6">
      <c r="A143" s="16" t="s">
        <v>1802</v>
      </c>
      <c r="B143" s="16" t="str">
        <f t="shared" si="3"/>
        <v>Note</v>
      </c>
      <c r="C143" s="39" t="s">
        <v>1799</v>
      </c>
      <c r="D143" s="62" t="s">
        <v>1799</v>
      </c>
      <c r="E143" s="39" t="s">
        <v>1801</v>
      </c>
      <c r="F143" s="8" t="s">
        <v>1800</v>
      </c>
    </row>
    <row r="144" spans="1:6">
      <c r="A144" s="16"/>
      <c r="B144" s="16">
        <f t="shared" si="3"/>
        <v>0</v>
      </c>
      <c r="C144" s="39"/>
      <c r="D144" s="62"/>
      <c r="E144" s="39"/>
    </row>
    <row r="145" spans="1:6">
      <c r="A145" s="16"/>
      <c r="B145" s="16">
        <f t="shared" si="3"/>
        <v>0</v>
      </c>
      <c r="C145" s="39"/>
      <c r="D145" s="62"/>
      <c r="E145" s="39"/>
    </row>
    <row r="146" spans="1:6">
      <c r="A146" s="16"/>
      <c r="B146" s="16">
        <f t="shared" si="3"/>
        <v>0</v>
      </c>
      <c r="C146" s="39"/>
      <c r="D146" s="62"/>
      <c r="E146" s="39"/>
    </row>
    <row r="147" spans="1:6">
      <c r="B147" s="16">
        <f t="shared" si="3"/>
        <v>0</v>
      </c>
      <c r="D147" s="17"/>
    </row>
    <row r="148" spans="1:6">
      <c r="A148" s="16" t="s">
        <v>179</v>
      </c>
      <c r="B148" s="16" t="str">
        <f t="shared" ref="B148:B181" si="4">INDEX($C148:$F148,1,MATCH(Sprachwahl,ListSprache,0))</f>
        <v>B Travaux préparatoires</v>
      </c>
      <c r="C148" s="5" t="s">
        <v>187</v>
      </c>
      <c r="D148" s="17" t="s">
        <v>1132</v>
      </c>
      <c r="E148" s="8" t="s">
        <v>903</v>
      </c>
      <c r="F148" s="8" t="s">
        <v>1332</v>
      </c>
    </row>
    <row r="149" spans="1:6">
      <c r="A149" s="16"/>
      <c r="B149" s="16" t="str">
        <f t="shared" si="4"/>
        <v>C1 Radiers, fondations</v>
      </c>
      <c r="C149" s="5" t="s">
        <v>188</v>
      </c>
      <c r="D149" s="17" t="s">
        <v>1133</v>
      </c>
      <c r="E149" s="8" t="s">
        <v>904</v>
      </c>
      <c r="F149" s="8" t="s">
        <v>1333</v>
      </c>
    </row>
    <row r="150" spans="1:6">
      <c r="A150" s="16"/>
      <c r="B150" s="16" t="str">
        <f t="shared" si="4"/>
        <v>C2.1 Parois porteuses ext. c. terre</v>
      </c>
      <c r="C150" s="5" t="s">
        <v>189</v>
      </c>
      <c r="D150" s="17" t="s">
        <v>1789</v>
      </c>
      <c r="E150" s="8" t="s">
        <v>1791</v>
      </c>
      <c r="F150" s="8" t="s">
        <v>1339</v>
      </c>
    </row>
    <row r="151" spans="1:6">
      <c r="A151" s="16"/>
      <c r="B151" s="16" t="str">
        <f t="shared" si="4"/>
        <v>C2.1 Parois porteuses ext. h. terr.</v>
      </c>
      <c r="C151" s="8" t="s">
        <v>190</v>
      </c>
      <c r="D151" s="17" t="s">
        <v>1790</v>
      </c>
      <c r="E151" s="8" t="s">
        <v>1792</v>
      </c>
      <c r="F151" s="8" t="s">
        <v>1340</v>
      </c>
    </row>
    <row r="152" spans="1:6">
      <c r="A152" s="16"/>
      <c r="B152" s="16" t="str">
        <f t="shared" si="4"/>
        <v>C2.2 Parois porteuses intérieures</v>
      </c>
      <c r="C152" s="5" t="s">
        <v>191</v>
      </c>
      <c r="D152" s="17" t="s">
        <v>1134</v>
      </c>
      <c r="E152" s="8" t="s">
        <v>905</v>
      </c>
      <c r="F152" s="8" t="s">
        <v>1334</v>
      </c>
    </row>
    <row r="153" spans="1:6">
      <c r="A153" s="16"/>
      <c r="B153" s="16" t="str">
        <f t="shared" si="4"/>
        <v>C4.1 Planchers</v>
      </c>
      <c r="C153" s="5" t="s">
        <v>192</v>
      </c>
      <c r="D153" s="17" t="s">
        <v>1135</v>
      </c>
      <c r="E153" s="8" t="s">
        <v>906</v>
      </c>
      <c r="F153" s="8" t="s">
        <v>1335</v>
      </c>
    </row>
    <row r="154" spans="1:6">
      <c r="A154" s="16"/>
      <c r="B154" s="16" t="str">
        <f t="shared" si="4"/>
        <v>C4.3 Balcons</v>
      </c>
      <c r="C154" s="5" t="s">
        <v>193</v>
      </c>
      <c r="D154" s="17" t="s">
        <v>1136</v>
      </c>
      <c r="E154" s="8" t="s">
        <v>907</v>
      </c>
      <c r="F154" s="8" t="s">
        <v>1336</v>
      </c>
    </row>
    <row r="155" spans="1:6">
      <c r="A155" s="16"/>
      <c r="B155" s="16" t="str">
        <f t="shared" si="4"/>
        <v>C4.4 Construction du toit</v>
      </c>
      <c r="C155" s="5" t="s">
        <v>194</v>
      </c>
      <c r="D155" s="17" t="s">
        <v>1787</v>
      </c>
      <c r="E155" s="8" t="s">
        <v>908</v>
      </c>
      <c r="F155" s="8" t="s">
        <v>1337</v>
      </c>
    </row>
    <row r="156" spans="1:6">
      <c r="A156" s="16"/>
      <c r="B156" s="16" t="str">
        <f t="shared" si="4"/>
        <v>D Installations</v>
      </c>
      <c r="C156" s="5" t="s">
        <v>195</v>
      </c>
      <c r="D156" s="17" t="s">
        <v>1137</v>
      </c>
      <c r="E156" s="8" t="s">
        <v>909</v>
      </c>
      <c r="F156" s="8" t="s">
        <v>1341</v>
      </c>
    </row>
    <row r="157" spans="1:6">
      <c r="A157" s="16"/>
      <c r="B157" s="16" t="str">
        <f t="shared" si="4"/>
        <v>E1 Revêtements de murs c. terre</v>
      </c>
      <c r="C157" s="8" t="s">
        <v>196</v>
      </c>
      <c r="D157" s="17" t="s">
        <v>1793</v>
      </c>
      <c r="E157" s="8" t="s">
        <v>1794</v>
      </c>
      <c r="F157" s="8" t="s">
        <v>1342</v>
      </c>
    </row>
    <row r="158" spans="1:6">
      <c r="A158" s="16"/>
      <c r="B158" s="16" t="str">
        <f t="shared" si="4"/>
        <v>E2 Revêtements de façades</v>
      </c>
      <c r="C158" s="5" t="s">
        <v>197</v>
      </c>
      <c r="D158" s="17" t="s">
        <v>1138</v>
      </c>
      <c r="E158" s="8" t="s">
        <v>1795</v>
      </c>
      <c r="F158" s="8" t="s">
        <v>1343</v>
      </c>
    </row>
    <row r="159" spans="1:6">
      <c r="A159" s="16"/>
      <c r="B159" s="16" t="str">
        <f t="shared" si="4"/>
        <v>E3 Fenêtres, portes, disp. de prot.</v>
      </c>
      <c r="C159" s="5" t="s">
        <v>198</v>
      </c>
      <c r="D159" s="17" t="s">
        <v>1788</v>
      </c>
      <c r="E159" s="8" t="s">
        <v>910</v>
      </c>
      <c r="F159" s="8" t="s">
        <v>1338</v>
      </c>
    </row>
    <row r="160" spans="1:6">
      <c r="A160" s="16"/>
      <c r="B160" s="16" t="str">
        <f t="shared" si="4"/>
        <v>F Toitures</v>
      </c>
      <c r="C160" s="5" t="s">
        <v>199</v>
      </c>
      <c r="D160" s="17" t="s">
        <v>1139</v>
      </c>
      <c r="E160" s="8" t="s">
        <v>911</v>
      </c>
      <c r="F160" s="8" t="s">
        <v>1344</v>
      </c>
    </row>
    <row r="161" spans="1:6">
      <c r="A161" s="16"/>
      <c r="B161" s="16" t="str">
        <f t="shared" si="4"/>
        <v>G Aménagements intérieurs</v>
      </c>
      <c r="C161" s="5" t="s">
        <v>200</v>
      </c>
      <c r="D161" s="17" t="s">
        <v>1140</v>
      </c>
      <c r="E161" s="8" t="s">
        <v>912</v>
      </c>
      <c r="F161" s="8" t="s">
        <v>1345</v>
      </c>
    </row>
    <row r="162" spans="1:6">
      <c r="A162" s="16"/>
      <c r="B162" s="16"/>
      <c r="C162" s="5"/>
      <c r="D162" s="17"/>
    </row>
    <row r="163" spans="1:6">
      <c r="A163" s="16" t="s">
        <v>2362</v>
      </c>
      <c r="B163" s="16" t="str">
        <f t="shared" si="4"/>
        <v>Inst. ventilation</v>
      </c>
      <c r="C163" s="5" t="s">
        <v>343</v>
      </c>
      <c r="D163" s="17" t="s">
        <v>2388</v>
      </c>
      <c r="E163" s="8" t="s">
        <v>2389</v>
      </c>
      <c r="F163" s="8" t="s">
        <v>2363</v>
      </c>
    </row>
    <row r="164" spans="1:6">
      <c r="A164" s="16"/>
      <c r="B164" s="16" t="str">
        <f t="shared" si="4"/>
        <v>Inst. électrique</v>
      </c>
      <c r="C164" s="5" t="s">
        <v>2357</v>
      </c>
      <c r="D164" s="75" t="s">
        <v>2378</v>
      </c>
      <c r="E164" s="75" t="s">
        <v>2379</v>
      </c>
      <c r="F164" s="75" t="s">
        <v>1368</v>
      </c>
    </row>
    <row r="165" spans="1:6">
      <c r="A165" s="16"/>
      <c r="B165" s="16" t="str">
        <f t="shared" si="4"/>
        <v>Sondes géoth.</v>
      </c>
      <c r="C165" s="5" t="s">
        <v>2371</v>
      </c>
      <c r="D165" s="75" t="s">
        <v>2369</v>
      </c>
      <c r="E165" s="75" t="s">
        <v>2370</v>
      </c>
      <c r="F165" s="75" t="s">
        <v>2372</v>
      </c>
    </row>
    <row r="166" spans="1:6">
      <c r="A166" s="16"/>
      <c r="B166" s="16" t="str">
        <f t="shared" si="4"/>
        <v>Coll. Solaires</v>
      </c>
      <c r="C166" s="5" t="s">
        <v>2358</v>
      </c>
      <c r="D166" s="75" t="s">
        <v>2373</v>
      </c>
      <c r="E166" s="75" t="s">
        <v>2374</v>
      </c>
      <c r="F166" s="75" t="s">
        <v>2375</v>
      </c>
    </row>
    <row r="167" spans="1:6">
      <c r="A167" s="16"/>
      <c r="B167" s="16" t="str">
        <f t="shared" si="4"/>
        <v>Inst. Sanitaires</v>
      </c>
      <c r="C167" s="5" t="s">
        <v>2359</v>
      </c>
      <c r="D167" s="75" t="s">
        <v>2376</v>
      </c>
      <c r="E167" s="75" t="s">
        <v>2377</v>
      </c>
      <c r="F167" s="75" t="s">
        <v>1387</v>
      </c>
    </row>
    <row r="168" spans="1:6">
      <c r="A168" s="16"/>
      <c r="B168" s="16" t="str">
        <f t="shared" si="4"/>
        <v>Inst. Photovoltaïque</v>
      </c>
      <c r="C168" s="5" t="s">
        <v>2360</v>
      </c>
      <c r="D168" s="75" t="s">
        <v>2385</v>
      </c>
      <c r="E168" s="75" t="s">
        <v>2386</v>
      </c>
      <c r="F168" s="75" t="s">
        <v>2387</v>
      </c>
    </row>
    <row r="169" spans="1:6">
      <c r="A169" s="16"/>
      <c r="B169" s="16" t="str">
        <f t="shared" si="4"/>
        <v>Diff. chaleur</v>
      </c>
      <c r="C169" s="5" t="s">
        <v>345</v>
      </c>
      <c r="D169" s="75" t="s">
        <v>2392</v>
      </c>
      <c r="E169" s="75" t="s">
        <v>2380</v>
      </c>
      <c r="F169" s="75" t="s">
        <v>2381</v>
      </c>
    </row>
    <row r="170" spans="1:6">
      <c r="A170" s="16"/>
      <c r="B170" s="16" t="str">
        <f t="shared" si="4"/>
        <v>Prod. chaleur</v>
      </c>
      <c r="C170" s="5" t="s">
        <v>248</v>
      </c>
      <c r="D170" s="75" t="s">
        <v>2390</v>
      </c>
      <c r="E170" s="75" t="s">
        <v>2382</v>
      </c>
      <c r="F170" s="75" t="s">
        <v>1383</v>
      </c>
    </row>
    <row r="171" spans="1:6">
      <c r="A171" s="16"/>
      <c r="B171" s="16" t="str">
        <f t="shared" si="4"/>
        <v>Distr. chaleur</v>
      </c>
      <c r="C171" s="5" t="s">
        <v>344</v>
      </c>
      <c r="D171" s="75" t="s">
        <v>2391</v>
      </c>
      <c r="E171" s="75" t="s">
        <v>2383</v>
      </c>
      <c r="F171" s="75" t="s">
        <v>2384</v>
      </c>
    </row>
    <row r="172" spans="1:6">
      <c r="A172" s="16"/>
      <c r="B172" s="16"/>
      <c r="C172" s="5"/>
      <c r="D172" s="17"/>
    </row>
    <row r="173" spans="1:6">
      <c r="A173" s="16" t="s">
        <v>2365</v>
      </c>
      <c r="B173" s="16" t="str">
        <f>INDEX($C173:$F173,1,MATCH(Sprachwahl,ListSprache,0))</f>
        <v>Les composants sont entièrement enregistrés.</v>
      </c>
      <c r="C173" s="5" t="s">
        <v>2367</v>
      </c>
      <c r="D173" s="8" t="s">
        <v>2397</v>
      </c>
      <c r="E173" s="8" t="s">
        <v>2393</v>
      </c>
      <c r="F173" s="8" t="s">
        <v>2400</v>
      </c>
    </row>
    <row r="174" spans="1:6">
      <c r="A174" s="16"/>
      <c r="B174" s="16" t="str">
        <f t="shared" si="4"/>
        <v xml:space="preserve">Ces groupes d'éléments sont manquants: </v>
      </c>
      <c r="C174" s="5" t="s">
        <v>2368</v>
      </c>
      <c r="D174" s="8" t="s">
        <v>2399</v>
      </c>
      <c r="E174" s="8" t="s">
        <v>2394</v>
      </c>
      <c r="F174" s="8" t="s">
        <v>2401</v>
      </c>
    </row>
    <row r="175" spans="1:6">
      <c r="A175" s="16"/>
      <c r="B175" s="16" t="str">
        <f t="shared" si="4"/>
        <v>La technique est entièrement enregistrée.</v>
      </c>
      <c r="C175" s="5" t="s">
        <v>2364</v>
      </c>
      <c r="D175" s="8" t="s">
        <v>2398</v>
      </c>
      <c r="E175" s="8" t="s">
        <v>2395</v>
      </c>
      <c r="F175" s="8" t="s">
        <v>2402</v>
      </c>
    </row>
    <row r="176" spans="1:6">
      <c r="A176" s="16"/>
      <c r="B176" s="16" t="str">
        <f t="shared" si="4"/>
        <v xml:space="preserve">Ces éléments techniques sont manquants: </v>
      </c>
      <c r="C176" s="5" t="s">
        <v>2366</v>
      </c>
      <c r="D176" s="8" t="s">
        <v>2405</v>
      </c>
      <c r="E176" s="8" t="s">
        <v>2396</v>
      </c>
      <c r="F176" s="8" t="s">
        <v>2403</v>
      </c>
    </row>
    <row r="177" spans="1:7">
      <c r="A177" s="16"/>
      <c r="B177" s="16"/>
      <c r="D177" s="17"/>
    </row>
    <row r="178" spans="1:7">
      <c r="A178" s="16"/>
      <c r="B178" s="16">
        <f t="shared" si="4"/>
        <v>0</v>
      </c>
      <c r="C178" s="5"/>
      <c r="D178" s="17"/>
    </row>
    <row r="179" spans="1:7">
      <c r="A179" s="16"/>
      <c r="B179" s="16">
        <f t="shared" si="4"/>
        <v>0</v>
      </c>
      <c r="C179" s="5"/>
      <c r="D179" s="17"/>
    </row>
    <row r="180" spans="1:7">
      <c r="A180" s="16"/>
      <c r="B180" s="16">
        <f t="shared" si="4"/>
        <v>0</v>
      </c>
      <c r="C180" s="5"/>
      <c r="D180" s="17"/>
    </row>
    <row r="181" spans="1:7">
      <c r="A181" s="16"/>
      <c r="B181" s="16">
        <f t="shared" si="4"/>
        <v>0</v>
      </c>
      <c r="C181" s="5"/>
      <c r="D181" s="17"/>
    </row>
    <row r="182" spans="1:7">
      <c r="A182" s="16"/>
      <c r="B182" s="16"/>
      <c r="D182" s="17"/>
    </row>
    <row r="183" spans="1:7">
      <c r="A183" s="10" t="s">
        <v>2323</v>
      </c>
      <c r="B183" s="10"/>
      <c r="C183" s="10"/>
      <c r="D183" s="61"/>
      <c r="E183" s="10"/>
      <c r="F183" s="10"/>
      <c r="G183" s="10"/>
    </row>
    <row r="184" spans="1:7">
      <c r="A184" s="10" t="s">
        <v>37</v>
      </c>
      <c r="B184" s="10" t="s">
        <v>38</v>
      </c>
      <c r="C184" s="10" t="str">
        <f>C$4</f>
        <v>Deutsch</v>
      </c>
      <c r="D184" s="61" t="str">
        <f>D$4</f>
        <v>Francais</v>
      </c>
      <c r="E184" s="10" t="str">
        <f>E$4</f>
        <v>Italiano</v>
      </c>
      <c r="F184" s="10" t="str">
        <f>F$4</f>
        <v>English</v>
      </c>
      <c r="G184" s="10" t="s">
        <v>2324</v>
      </c>
    </row>
    <row r="185" spans="1:7">
      <c r="A185" s="16" t="s">
        <v>222</v>
      </c>
      <c r="B185" s="16" t="str">
        <f t="shared" ref="B185:B216" si="5">INDEX($C185:$F185,1,MATCH(Sprachwahl,ListSprache,0))</f>
        <v>Déblai de fouille à la décharge (CC)</v>
      </c>
      <c r="C185" s="75" t="s">
        <v>650</v>
      </c>
      <c r="D185" s="75" t="s">
        <v>1141</v>
      </c>
      <c r="E185" s="75" t="s">
        <v>913</v>
      </c>
      <c r="F185" s="75" t="s">
        <v>1393</v>
      </c>
      <c r="G185" s="75" t="s">
        <v>2057</v>
      </c>
    </row>
    <row r="186" spans="1:7">
      <c r="A186" s="16"/>
      <c r="B186" s="16" t="str">
        <f t="shared" si="5"/>
        <v>Déblai de fouille, dépôt sur le chantier (CC)</v>
      </c>
      <c r="C186" s="75" t="s">
        <v>649</v>
      </c>
      <c r="D186" s="75" t="s">
        <v>1142</v>
      </c>
      <c r="E186" s="75" t="s">
        <v>914</v>
      </c>
      <c r="F186" s="75" t="s">
        <v>1394</v>
      </c>
      <c r="G186" s="75" t="s">
        <v>2058</v>
      </c>
    </row>
    <row r="187" spans="1:7">
      <c r="A187" s="16"/>
      <c r="B187" s="16" t="str">
        <f t="shared" si="5"/>
        <v>Radier en béton 25cm (CC)</v>
      </c>
      <c r="C187" s="75" t="s">
        <v>802</v>
      </c>
      <c r="D187" s="75" t="s">
        <v>1143</v>
      </c>
      <c r="E187" s="75" t="s">
        <v>915</v>
      </c>
      <c r="F187" s="75" t="s">
        <v>1395</v>
      </c>
      <c r="G187" s="75" t="s">
        <v>2064</v>
      </c>
    </row>
    <row r="188" spans="1:7">
      <c r="A188" s="16"/>
      <c r="B188" s="16" t="str">
        <f t="shared" si="5"/>
        <v>Radier en béton 25cm avec isolation thermique XPS côté intérieur et chape flottante (CC)</v>
      </c>
      <c r="C188" s="75" t="s">
        <v>613</v>
      </c>
      <c r="D188" s="75" t="s">
        <v>1144</v>
      </c>
      <c r="E188" s="75" t="s">
        <v>916</v>
      </c>
      <c r="F188" s="75" t="s">
        <v>1396</v>
      </c>
      <c r="G188" s="75" t="s">
        <v>2065</v>
      </c>
    </row>
    <row r="189" spans="1:7">
      <c r="A189" s="16"/>
      <c r="B189" s="16" t="str">
        <f t="shared" si="5"/>
        <v>Isolation thermique, radier en béton 25 cm, chape adhérente (CC)</v>
      </c>
      <c r="C189" s="75" t="s">
        <v>614</v>
      </c>
      <c r="D189" s="75" t="s">
        <v>1145</v>
      </c>
      <c r="E189" s="75" t="s">
        <v>917</v>
      </c>
      <c r="F189" s="75" t="s">
        <v>1397</v>
      </c>
      <c r="G189" s="75" t="s">
        <v>2066</v>
      </c>
    </row>
    <row r="190" spans="1:7">
      <c r="A190" s="16"/>
      <c r="B190" s="16" t="str">
        <f t="shared" si="5"/>
        <v>Paroi en béton 25cm sans isolation, plaques filtrantes (CC)</v>
      </c>
      <c r="C190" s="75" t="s">
        <v>654</v>
      </c>
      <c r="D190" s="75" t="s">
        <v>1146</v>
      </c>
      <c r="E190" s="75" t="s">
        <v>918</v>
      </c>
      <c r="F190" s="75" t="s">
        <v>1398</v>
      </c>
      <c r="G190" s="75" t="s">
        <v>2069</v>
      </c>
    </row>
    <row r="191" spans="1:7">
      <c r="A191" s="16"/>
      <c r="B191" s="16" t="str">
        <f t="shared" si="5"/>
        <v>Paroi en béton 25cm, isolation extérieure, plaques filtrantes (CC)</v>
      </c>
      <c r="C191" s="75" t="s">
        <v>629</v>
      </c>
      <c r="D191" s="75" t="s">
        <v>1147</v>
      </c>
      <c r="E191" s="75" t="s">
        <v>919</v>
      </c>
      <c r="F191" s="75" t="s">
        <v>1399</v>
      </c>
      <c r="G191" s="75" t="s">
        <v>2070</v>
      </c>
    </row>
    <row r="192" spans="1:7">
      <c r="A192" s="16"/>
      <c r="B192" s="16" t="str">
        <f t="shared" si="5"/>
        <v>Paroi en béton 25cm, isolation intérieure avec parement, plaques filtrantes (CC)</v>
      </c>
      <c r="C192" s="75" t="s">
        <v>630</v>
      </c>
      <c r="D192" s="75" t="s">
        <v>1148</v>
      </c>
      <c r="E192" s="75" t="s">
        <v>920</v>
      </c>
      <c r="F192" s="75" t="s">
        <v>1400</v>
      </c>
      <c r="G192" s="75" t="s">
        <v>2071</v>
      </c>
    </row>
    <row r="193" spans="1:7">
      <c r="A193" s="16"/>
      <c r="B193" s="16" t="str">
        <f t="shared" si="5"/>
        <v>Paroi extérieure primaire en bois massif, doublage intérieur avec parement simple (lignum)</v>
      </c>
      <c r="C193" s="75" t="s">
        <v>492</v>
      </c>
      <c r="D193" s="75" t="s">
        <v>1149</v>
      </c>
      <c r="E193" s="75" t="s">
        <v>921</v>
      </c>
      <c r="F193" s="75" t="s">
        <v>1401</v>
      </c>
      <c r="G193" s="75" t="s">
        <v>2072</v>
      </c>
    </row>
    <row r="194" spans="1:7">
      <c r="A194" s="16"/>
      <c r="B194" s="16" t="str">
        <f t="shared" si="5"/>
        <v>Paroi extérieure primaire ossature bois, doublage intérieur avec parement simple (lignum)</v>
      </c>
      <c r="C194" s="75" t="s">
        <v>491</v>
      </c>
      <c r="D194" s="75" t="s">
        <v>1150</v>
      </c>
      <c r="E194" s="75" t="s">
        <v>922</v>
      </c>
      <c r="F194" s="75" t="s">
        <v>1402</v>
      </c>
      <c r="G194" s="75" t="s">
        <v>2073</v>
      </c>
    </row>
    <row r="195" spans="1:7">
      <c r="A195" s="16"/>
      <c r="B195" s="16" t="str">
        <f t="shared" si="5"/>
        <v>Maçonnerie en briques de terre cuite, isolation thermique extérieure ventilée (CC)</v>
      </c>
      <c r="C195" s="75" t="s">
        <v>635</v>
      </c>
      <c r="D195" s="75" t="s">
        <v>1151</v>
      </c>
      <c r="E195" s="75" t="s">
        <v>923</v>
      </c>
      <c r="F195" s="75" t="s">
        <v>1403</v>
      </c>
      <c r="G195" s="75" t="s">
        <v>2089</v>
      </c>
    </row>
    <row r="196" spans="1:7">
      <c r="A196" s="16"/>
      <c r="B196" s="16" t="str">
        <f t="shared" si="5"/>
        <v>Paroi en béton 20cm, isolation thermique extérieure EPS crépie (CC)</v>
      </c>
      <c r="C196" s="75" t="s">
        <v>634</v>
      </c>
      <c r="D196" s="75" t="s">
        <v>1152</v>
      </c>
      <c r="E196" s="75" t="s">
        <v>924</v>
      </c>
      <c r="F196" s="75" t="s">
        <v>1404</v>
      </c>
      <c r="G196" s="75" t="s">
        <v>2090</v>
      </c>
    </row>
    <row r="197" spans="1:7">
      <c r="A197" s="16"/>
      <c r="B197" s="16" t="str">
        <f t="shared" si="5"/>
        <v>Maçonnerie à simple paroi en briques de terre cuite, isolation thermique extérieure EPS crépie (CC)</v>
      </c>
      <c r="C197" s="75" t="s">
        <v>633</v>
      </c>
      <c r="D197" s="75" t="s">
        <v>1153</v>
      </c>
      <c r="E197" s="75" t="s">
        <v>925</v>
      </c>
      <c r="F197" s="75" t="s">
        <v>1405</v>
      </c>
      <c r="G197" s="75" t="s">
        <v>2091</v>
      </c>
    </row>
    <row r="198" spans="1:7">
      <c r="A198" s="16"/>
      <c r="B198" s="16" t="str">
        <f t="shared" si="5"/>
        <v>Paroi en éléments de bois avec isolation thermique intermédiaire (CC)</v>
      </c>
      <c r="C198" s="75" t="s">
        <v>637</v>
      </c>
      <c r="D198" s="75" t="s">
        <v>1154</v>
      </c>
      <c r="E198" s="75" t="s">
        <v>926</v>
      </c>
      <c r="F198" s="75" t="s">
        <v>1406</v>
      </c>
      <c r="G198" s="75" t="s">
        <v>2092</v>
      </c>
    </row>
    <row r="199" spans="1:7">
      <c r="A199" s="16"/>
      <c r="B199" s="16" t="str">
        <f t="shared" si="5"/>
        <v>Panneaux sandwich de tôle d'acier (CC)</v>
      </c>
      <c r="C199" s="75" t="s">
        <v>632</v>
      </c>
      <c r="D199" s="75" t="s">
        <v>1155</v>
      </c>
      <c r="E199" s="75" t="s">
        <v>927</v>
      </c>
      <c r="F199" s="75" t="s">
        <v>1407</v>
      </c>
      <c r="G199" s="75" t="s">
        <v>2093</v>
      </c>
    </row>
    <row r="200" spans="1:7">
      <c r="A200" s="16"/>
      <c r="B200" s="16" t="str">
        <f t="shared" si="5"/>
        <v>Bardage en cassettes d'acier avec isolation complémentaire, revêtement en tôle d'acier (CC)</v>
      </c>
      <c r="C200" s="75" t="s">
        <v>631</v>
      </c>
      <c r="D200" s="75" t="s">
        <v>1156</v>
      </c>
      <c r="E200" s="75" t="s">
        <v>1909</v>
      </c>
      <c r="F200" s="75" t="s">
        <v>1408</v>
      </c>
      <c r="G200" s="75" t="s">
        <v>2094</v>
      </c>
    </row>
    <row r="201" spans="1:7">
      <c r="A201" s="16"/>
      <c r="B201" s="16" t="str">
        <f t="shared" si="5"/>
        <v>Maçonnerie à double paroi crépie, vide de maçonnerie isolé (CC)</v>
      </c>
      <c r="C201" s="75" t="s">
        <v>636</v>
      </c>
      <c r="D201" s="75" t="s">
        <v>1157</v>
      </c>
      <c r="E201" s="75" t="s">
        <v>928</v>
      </c>
      <c r="F201" s="75" t="s">
        <v>1409</v>
      </c>
      <c r="G201" s="75" t="s">
        <v>2095</v>
      </c>
    </row>
    <row r="202" spans="1:7">
      <c r="A202" s="16"/>
      <c r="B202" s="16" t="str">
        <f t="shared" si="5"/>
        <v>Paroi intérieure en briques de terre cuite, crépie (CC)</v>
      </c>
      <c r="C202" s="75" t="s">
        <v>643</v>
      </c>
      <c r="D202" s="75" t="s">
        <v>1158</v>
      </c>
      <c r="E202" s="75" t="s">
        <v>929</v>
      </c>
      <c r="F202" s="75" t="s">
        <v>1410</v>
      </c>
      <c r="G202" s="75" t="s">
        <v>2096</v>
      </c>
    </row>
    <row r="203" spans="1:7">
      <c r="A203" s="16"/>
      <c r="B203" s="16" t="str">
        <f t="shared" si="5"/>
        <v>Paroi en béton 20cm (CC)</v>
      </c>
      <c r="C203" s="75" t="s">
        <v>645</v>
      </c>
      <c r="D203" s="75" t="s">
        <v>1159</v>
      </c>
      <c r="E203" s="75" t="s">
        <v>930</v>
      </c>
      <c r="F203" s="75" t="s">
        <v>1411</v>
      </c>
      <c r="G203" s="75" t="s">
        <v>2097</v>
      </c>
    </row>
    <row r="204" spans="1:7">
      <c r="A204" s="16"/>
      <c r="B204" s="16" t="str">
        <f t="shared" si="5"/>
        <v>Paroi légère en plaques de plâtre cartonné avec parement double (CC)</v>
      </c>
      <c r="C204" s="75" t="s">
        <v>646</v>
      </c>
      <c r="D204" s="75" t="s">
        <v>1160</v>
      </c>
      <c r="E204" s="75" t="s">
        <v>931</v>
      </c>
      <c r="F204" s="75" t="s">
        <v>1412</v>
      </c>
      <c r="G204" s="75" t="s">
        <v>2098</v>
      </c>
    </row>
    <row r="205" spans="1:7">
      <c r="A205" s="16"/>
      <c r="B205" s="16" t="str">
        <f t="shared" si="5"/>
        <v>Cloison simple ossature, montants, parement simple en plaques de plâtre cartonné (lignum)</v>
      </c>
      <c r="C205" s="75" t="s">
        <v>489</v>
      </c>
      <c r="D205" s="75" t="s">
        <v>1161</v>
      </c>
      <c r="E205" s="75" t="s">
        <v>932</v>
      </c>
      <c r="F205" s="75" t="s">
        <v>1413</v>
      </c>
      <c r="G205" s="75" t="s">
        <v>2101</v>
      </c>
    </row>
    <row r="206" spans="1:7">
      <c r="A206" s="16"/>
      <c r="B206" s="16" t="str">
        <f t="shared" si="5"/>
        <v>Cloison double ossature, montants, parement simple en plaques de plâtre cartonné (lignum)</v>
      </c>
      <c r="C206" s="75" t="s">
        <v>488</v>
      </c>
      <c r="D206" s="75" t="s">
        <v>1162</v>
      </c>
      <c r="E206" s="75" t="s">
        <v>933</v>
      </c>
      <c r="F206" s="75" t="s">
        <v>1414</v>
      </c>
      <c r="G206" s="75" t="s">
        <v>2102</v>
      </c>
    </row>
    <row r="207" spans="1:7">
      <c r="A207" s="16"/>
      <c r="B207" s="16" t="str">
        <f t="shared" si="5"/>
        <v>Paroi de séparation en bois (CC)</v>
      </c>
      <c r="C207" s="75" t="s">
        <v>648</v>
      </c>
      <c r="D207" s="75" t="s">
        <v>1163</v>
      </c>
      <c r="E207" s="75" t="s">
        <v>934</v>
      </c>
      <c r="F207" s="75" t="s">
        <v>1415</v>
      </c>
      <c r="G207" s="75" t="s">
        <v>2103</v>
      </c>
    </row>
    <row r="208" spans="1:7">
      <c r="A208" s="16"/>
      <c r="B208" s="16" t="str">
        <f t="shared" si="5"/>
        <v>Paroi de séparation en bois massif avec doublage en plaques de plâtre cartonné (lignum)</v>
      </c>
      <c r="C208" s="75" t="s">
        <v>490</v>
      </c>
      <c r="D208" s="75" t="s">
        <v>1164</v>
      </c>
      <c r="E208" s="75" t="s">
        <v>935</v>
      </c>
      <c r="F208" s="75" t="s">
        <v>1416</v>
      </c>
      <c r="G208" s="75" t="s">
        <v>2104</v>
      </c>
    </row>
    <row r="209" spans="1:7">
      <c r="A209" s="16"/>
      <c r="B209" s="16" t="str">
        <f t="shared" si="5"/>
        <v>Paroi de séparation en carreaux de plâtre massif (CC)</v>
      </c>
      <c r="C209" s="75" t="s">
        <v>647</v>
      </c>
      <c r="D209" s="75" t="s">
        <v>1165</v>
      </c>
      <c r="E209" s="75" t="s">
        <v>936</v>
      </c>
      <c r="F209" s="75" t="s">
        <v>1417</v>
      </c>
      <c r="G209" s="75" t="s">
        <v>2105</v>
      </c>
    </row>
    <row r="210" spans="1:7">
      <c r="A210" s="16"/>
      <c r="B210" s="16" t="str">
        <f t="shared" si="5"/>
        <v>Maçonnerie à double paroi crépie (CC)</v>
      </c>
      <c r="C210" s="75" t="s">
        <v>644</v>
      </c>
      <c r="D210" s="75" t="s">
        <v>1166</v>
      </c>
      <c r="E210" s="75" t="s">
        <v>937</v>
      </c>
      <c r="F210" s="75" t="s">
        <v>1418</v>
      </c>
      <c r="G210" s="75" t="s">
        <v>2106</v>
      </c>
    </row>
    <row r="211" spans="1:7">
      <c r="A211" s="16"/>
      <c r="B211" s="16" t="str">
        <f t="shared" si="5"/>
        <v>Solivage, chape et faux-plafond (lignum)</v>
      </c>
      <c r="C211" s="75" t="s">
        <v>479</v>
      </c>
      <c r="D211" s="75" t="s">
        <v>1167</v>
      </c>
      <c r="E211" s="75" t="s">
        <v>938</v>
      </c>
      <c r="F211" s="75" t="s">
        <v>1419</v>
      </c>
      <c r="G211" s="75" t="s">
        <v>2107</v>
      </c>
    </row>
    <row r="212" spans="1:7">
      <c r="A212" s="16"/>
      <c r="B212" s="16" t="str">
        <f t="shared" si="5"/>
        <v>Solivage, solives apparentes, plancher simple avec chape humide (lignum)</v>
      </c>
      <c r="C212" s="75" t="s">
        <v>478</v>
      </c>
      <c r="D212" s="75" t="s">
        <v>1168</v>
      </c>
      <c r="E212" s="75" t="s">
        <v>939</v>
      </c>
      <c r="F212" s="75" t="s">
        <v>1420</v>
      </c>
      <c r="G212" s="75" t="s">
        <v>2108</v>
      </c>
    </row>
    <row r="213" spans="1:7">
      <c r="A213" s="16"/>
      <c r="B213" s="16" t="str">
        <f t="shared" si="5"/>
        <v>Solivage, solives apparentes, plancher simple avec chape sèche (lignum)</v>
      </c>
      <c r="C213" s="75" t="s">
        <v>481</v>
      </c>
      <c r="D213" s="75" t="s">
        <v>1169</v>
      </c>
      <c r="E213" s="75" t="s">
        <v>940</v>
      </c>
      <c r="F213" s="75" t="s">
        <v>1421</v>
      </c>
      <c r="G213" s="75" t="s">
        <v>2109</v>
      </c>
    </row>
    <row r="214" spans="1:7">
      <c r="A214" s="16"/>
      <c r="B214" s="16" t="str">
        <f t="shared" si="5"/>
        <v>Solivage, chape sèche et faux-plafond (lignum)</v>
      </c>
      <c r="C214" s="75" t="s">
        <v>480</v>
      </c>
      <c r="D214" s="75" t="s">
        <v>1170</v>
      </c>
      <c r="E214" s="75" t="s">
        <v>941</v>
      </c>
      <c r="F214" s="75" t="s">
        <v>1422</v>
      </c>
      <c r="G214" s="75" t="s">
        <v>2110</v>
      </c>
    </row>
    <row r="215" spans="1:7">
      <c r="A215" s="16"/>
      <c r="B215" s="16" t="str">
        <f t="shared" si="5"/>
        <v>Dalle en béton 22 cm avec isolation thermique EPS intérieure, isolation contre les bruits de choc, chape flottante (CC)</v>
      </c>
      <c r="C215" s="75" t="s">
        <v>617</v>
      </c>
      <c r="D215" s="75" t="s">
        <v>1171</v>
      </c>
      <c r="E215" s="75" t="s">
        <v>942</v>
      </c>
      <c r="F215" s="75" t="s">
        <v>1423</v>
      </c>
      <c r="G215" s="75" t="s">
        <v>2111</v>
      </c>
    </row>
    <row r="216" spans="1:7">
      <c r="A216" s="16"/>
      <c r="B216" s="16" t="str">
        <f t="shared" si="5"/>
        <v>Dalle en béton 22 cm avec isolation thermique PUR intérieure, chape flottante (CC)</v>
      </c>
      <c r="C216" s="75" t="s">
        <v>616</v>
      </c>
      <c r="D216" s="75" t="s">
        <v>1172</v>
      </c>
      <c r="E216" s="75" t="s">
        <v>943</v>
      </c>
      <c r="F216" s="75" t="s">
        <v>1424</v>
      </c>
      <c r="G216" s="75" t="s">
        <v>2112</v>
      </c>
    </row>
    <row r="217" spans="1:7">
      <c r="A217" s="16"/>
      <c r="B217" s="16" t="str">
        <f t="shared" ref="B217:B248" si="6">INDEX($C217:$F217,1,MATCH(Sprachwahl,ListSprache,0))</f>
        <v>Dalle en béton 22 cm avec isolation contre les bruits de choc, chape flottante (CC)</v>
      </c>
      <c r="C217" s="75" t="s">
        <v>618</v>
      </c>
      <c r="D217" s="75" t="s">
        <v>1173</v>
      </c>
      <c r="E217" s="75" t="s">
        <v>944</v>
      </c>
      <c r="F217" s="75" t="s">
        <v>1425</v>
      </c>
      <c r="G217" s="75" t="s">
        <v>2113</v>
      </c>
    </row>
    <row r="218" spans="1:7">
      <c r="A218" s="16"/>
      <c r="B218" s="16" t="str">
        <f t="shared" si="6"/>
        <v>Dalle en béton 22 cm avec isolation thermique extérieure crépie (CC)</v>
      </c>
      <c r="C218" s="75" t="s">
        <v>615</v>
      </c>
      <c r="D218" s="75" t="s">
        <v>1174</v>
      </c>
      <c r="E218" s="75" t="s">
        <v>945</v>
      </c>
      <c r="F218" s="75" t="s">
        <v>1426</v>
      </c>
      <c r="G218" s="75" t="s">
        <v>2114</v>
      </c>
    </row>
    <row r="219" spans="1:7">
      <c r="A219" s="16"/>
      <c r="B219" s="16" t="str">
        <f t="shared" si="6"/>
        <v>Plancher en bois massif (BSH) 16cm, isolation contre les bruits de choc, chape flottante (CC)</v>
      </c>
      <c r="C219" s="75" t="s">
        <v>620</v>
      </c>
      <c r="D219" s="75" t="s">
        <v>1175</v>
      </c>
      <c r="E219" s="75" t="s">
        <v>946</v>
      </c>
      <c r="F219" s="75" t="s">
        <v>1427</v>
      </c>
      <c r="G219" s="75" t="s">
        <v>2116</v>
      </c>
    </row>
    <row r="220" spans="1:7">
      <c r="A220" s="16"/>
      <c r="B220" s="16" t="str">
        <f t="shared" si="6"/>
        <v>Plancher en éléments à caissons, chape humide et faux-plafond (lignum)</v>
      </c>
      <c r="C220" s="75" t="s">
        <v>483</v>
      </c>
      <c r="D220" s="75" t="s">
        <v>1176</v>
      </c>
      <c r="E220" s="75" t="s">
        <v>947</v>
      </c>
      <c r="F220" s="75" t="s">
        <v>1428</v>
      </c>
      <c r="G220" s="75" t="s">
        <v>2117</v>
      </c>
    </row>
    <row r="221" spans="1:7">
      <c r="A221" s="16"/>
      <c r="B221" s="16" t="str">
        <f t="shared" si="6"/>
        <v>Plancher en éléments à caissons, chape humide, pas de faux-plafond (lignum)</v>
      </c>
      <c r="C221" s="75" t="s">
        <v>482</v>
      </c>
      <c r="D221" s="75" t="s">
        <v>1177</v>
      </c>
      <c r="E221" s="75" t="s">
        <v>948</v>
      </c>
      <c r="F221" s="75" t="s">
        <v>1429</v>
      </c>
      <c r="G221" s="75" t="s">
        <v>2118</v>
      </c>
    </row>
    <row r="222" spans="1:7">
      <c r="A222" s="16"/>
      <c r="B222" s="16" t="str">
        <f t="shared" si="6"/>
        <v>Plancher à poutres de bois avec isolation ininterrompue en laine de pierre 8cm, revêtement côté extérieur, panneau de particules côté intérieur (CC)</v>
      </c>
      <c r="C222" s="75" t="s">
        <v>621</v>
      </c>
      <c r="D222" s="75" t="s">
        <v>1178</v>
      </c>
      <c r="E222" s="75" t="s">
        <v>949</v>
      </c>
      <c r="F222" s="75" t="s">
        <v>1430</v>
      </c>
      <c r="G222" s="75" t="s">
        <v>2119</v>
      </c>
    </row>
    <row r="223" spans="1:7">
      <c r="A223" s="16"/>
      <c r="B223" s="16" t="str">
        <f t="shared" si="6"/>
        <v>Dalle mixte bois-béton, chape humide, pas de faux-plafond (lignum)</v>
      </c>
      <c r="C223" s="75" t="s">
        <v>487</v>
      </c>
      <c r="D223" s="75" t="s">
        <v>1179</v>
      </c>
      <c r="E223" s="75" t="s">
        <v>950</v>
      </c>
      <c r="F223" s="75" t="s">
        <v>1431</v>
      </c>
      <c r="G223" s="75" t="s">
        <v>2121</v>
      </c>
    </row>
    <row r="224" spans="1:7">
      <c r="A224" s="16"/>
      <c r="B224" s="16" t="str">
        <f t="shared" si="6"/>
        <v>Plancher à caissons en bois avec isolation thermique intégrée, isolation contre les bruits de choc, panneau de particules (CC)</v>
      </c>
      <c r="C224" s="75" t="s">
        <v>622</v>
      </c>
      <c r="D224" s="75" t="s">
        <v>1180</v>
      </c>
      <c r="E224" s="75" t="s">
        <v>951</v>
      </c>
      <c r="F224" s="75" t="s">
        <v>1432</v>
      </c>
      <c r="G224" s="75" t="s">
        <v>2123</v>
      </c>
    </row>
    <row r="225" spans="1:7">
      <c r="A225" s="16"/>
      <c r="B225" s="16" t="str">
        <f t="shared" si="6"/>
        <v>Plancher en bois massif, chape humide et faux-plafond (lignum)</v>
      </c>
      <c r="C225" s="75" t="s">
        <v>486</v>
      </c>
      <c r="D225" s="75" t="s">
        <v>1181</v>
      </c>
      <c r="E225" s="75" t="s">
        <v>952</v>
      </c>
      <c r="F225" s="75" t="s">
        <v>1433</v>
      </c>
      <c r="G225" s="75" t="s">
        <v>2124</v>
      </c>
    </row>
    <row r="226" spans="1:7">
      <c r="A226" s="16"/>
      <c r="B226" s="16" t="str">
        <f t="shared" si="6"/>
        <v>Plancher en bois massif, chape humide, pas de faux-plafond (lignum)</v>
      </c>
      <c r="C226" s="75" t="s">
        <v>484</v>
      </c>
      <c r="D226" s="75" t="s">
        <v>1182</v>
      </c>
      <c r="E226" s="75" t="s">
        <v>953</v>
      </c>
      <c r="F226" s="75" t="s">
        <v>1434</v>
      </c>
      <c r="G226" s="75" t="s">
        <v>2125</v>
      </c>
    </row>
    <row r="227" spans="1:7">
      <c r="A227" s="16"/>
      <c r="B227" s="16" t="str">
        <f t="shared" si="6"/>
        <v>Plancher en bois massif, chape sèche et faux-plafond (lignum)</v>
      </c>
      <c r="C227" s="75" t="s">
        <v>485</v>
      </c>
      <c r="D227" s="75" t="s">
        <v>1183</v>
      </c>
      <c r="E227" s="75" t="s">
        <v>954</v>
      </c>
      <c r="F227" s="75" t="s">
        <v>1435</v>
      </c>
      <c r="G227" s="75" t="s">
        <v>2126</v>
      </c>
    </row>
    <row r="228" spans="1:7">
      <c r="A228" s="16"/>
      <c r="B228" s="16" t="str">
        <f t="shared" si="6"/>
        <v>Dalle en béton 18cm avec coffrage perdu en tôle trapézoïdale, isolation contre les bruits de choc, chape flottante (CC)</v>
      </c>
      <c r="C228" s="75" t="s">
        <v>619</v>
      </c>
      <c r="D228" s="75" t="s">
        <v>1184</v>
      </c>
      <c r="E228" s="75" t="s">
        <v>955</v>
      </c>
      <c r="F228" s="75" t="s">
        <v>1436</v>
      </c>
      <c r="G228" s="75" t="s">
        <v>2127</v>
      </c>
    </row>
    <row r="229" spans="1:7">
      <c r="A229" s="16"/>
      <c r="B229" s="16" t="str">
        <f t="shared" si="6"/>
        <v>Structure du toit en bois massif (lignum)</v>
      </c>
      <c r="C229" s="75" t="s">
        <v>495</v>
      </c>
      <c r="D229" s="75" t="s">
        <v>1185</v>
      </c>
      <c r="E229" s="75" t="s">
        <v>956</v>
      </c>
      <c r="F229" s="75" t="s">
        <v>1437</v>
      </c>
      <c r="G229" s="75" t="s">
        <v>2133</v>
      </c>
    </row>
    <row r="230" spans="1:7">
      <c r="A230" s="16"/>
      <c r="B230" s="16" t="str">
        <f t="shared" si="6"/>
        <v>Structure du toit en bois, poutres/chevrons avec contreventement en panneau dérivé du bois (lignum)</v>
      </c>
      <c r="C230" s="75" t="s">
        <v>494</v>
      </c>
      <c r="D230" s="75" t="s">
        <v>1186</v>
      </c>
      <c r="E230" s="75" t="s">
        <v>957</v>
      </c>
      <c r="F230" s="75" t="s">
        <v>1438</v>
      </c>
      <c r="G230" s="75" t="s">
        <v>2134</v>
      </c>
    </row>
    <row r="231" spans="1:7">
      <c r="A231" s="16"/>
      <c r="B231" s="16" t="str">
        <f t="shared" si="6"/>
        <v>Structure du toit en bois, poutres/chevrons apparents (lignum)</v>
      </c>
      <c r="C231" s="75" t="s">
        <v>493</v>
      </c>
      <c r="D231" s="75" t="s">
        <v>1187</v>
      </c>
      <c r="E231" s="75" t="s">
        <v>958</v>
      </c>
      <c r="F231" s="75" t="s">
        <v>1439</v>
      </c>
      <c r="G231" s="75" t="s">
        <v>2135</v>
      </c>
    </row>
    <row r="232" spans="1:7">
      <c r="A232" s="16"/>
      <c r="B232" s="16" t="str">
        <f t="shared" si="6"/>
        <v>Toit plat, dalle en béton 22cm, isolation thermique EPS, lé d'étanchéité bitumineux, couche de protection, accessible (CC)</v>
      </c>
      <c r="C232" s="75" t="s">
        <v>624</v>
      </c>
      <c r="D232" s="75" t="s">
        <v>1188</v>
      </c>
      <c r="E232" s="75" t="s">
        <v>959</v>
      </c>
      <c r="F232" s="75" t="s">
        <v>1440</v>
      </c>
      <c r="G232" s="75" t="s">
        <v>2136</v>
      </c>
    </row>
    <row r="233" spans="1:7">
      <c r="A233" s="16"/>
      <c r="B233" s="16" t="str">
        <f t="shared" si="6"/>
        <v>Toit plat, dalle en béton 22cm, isolation thermique EPS, lé d'étanchéité bitumineux, gravier (CC)</v>
      </c>
      <c r="C233" s="75" t="s">
        <v>623</v>
      </c>
      <c r="D233" s="75" t="s">
        <v>1189</v>
      </c>
      <c r="E233" s="75" t="s">
        <v>960</v>
      </c>
      <c r="F233" s="75" t="s">
        <v>1441</v>
      </c>
      <c r="G233" s="75" t="s">
        <v>2137</v>
      </c>
    </row>
    <row r="234" spans="1:7">
      <c r="A234" s="16"/>
      <c r="B234" s="16" t="str">
        <f t="shared" si="6"/>
        <v>Toit plat, toit en élément de bois avec isolation thermique intermédiaire, lé d'étanchéité bitumineux, gravier (CC)</v>
      </c>
      <c r="C234" s="75" t="s">
        <v>627</v>
      </c>
      <c r="D234" s="75" t="s">
        <v>1190</v>
      </c>
      <c r="E234" s="75" t="s">
        <v>961</v>
      </c>
      <c r="F234" s="75" t="s">
        <v>1442</v>
      </c>
      <c r="G234" s="75" t="s">
        <v>2138</v>
      </c>
    </row>
    <row r="235" spans="1:7">
      <c r="A235" s="16"/>
      <c r="B235" s="16" t="str">
        <f t="shared" si="6"/>
        <v>Toit plat, tôle trapézoïdale, isolation thermique EPS, accessible (CC)</v>
      </c>
      <c r="C235" s="75" t="s">
        <v>625</v>
      </c>
      <c r="D235" s="75" t="s">
        <v>1191</v>
      </c>
      <c r="E235" s="75" t="s">
        <v>962</v>
      </c>
      <c r="F235" s="75" t="s">
        <v>1443</v>
      </c>
      <c r="G235" s="75" t="s">
        <v>2139</v>
      </c>
    </row>
    <row r="236" spans="1:7">
      <c r="A236" s="16"/>
      <c r="B236" s="16" t="str">
        <f t="shared" si="6"/>
        <v>Toit à pans inclinés, toit en élément de bois avec isolation thermique intermédiaire (CC)</v>
      </c>
      <c r="C236" s="75" t="s">
        <v>628</v>
      </c>
      <c r="D236" s="75" t="s">
        <v>1192</v>
      </c>
      <c r="E236" s="75" t="s">
        <v>963</v>
      </c>
      <c r="F236" s="75" t="s">
        <v>1444</v>
      </c>
      <c r="G236" s="75" t="s">
        <v>2144</v>
      </c>
    </row>
    <row r="237" spans="1:7">
      <c r="A237" s="16"/>
      <c r="B237" s="16" t="str">
        <f t="shared" si="6"/>
        <v>Toit à pans inclinés, chevrons avec isolation thermique intermédiaire et isolation complémentaire (CC)</v>
      </c>
      <c r="C237" s="75" t="s">
        <v>626</v>
      </c>
      <c r="D237" s="75" t="s">
        <v>1193</v>
      </c>
      <c r="E237" s="75" t="s">
        <v>964</v>
      </c>
      <c r="F237" s="75" t="s">
        <v>1445</v>
      </c>
      <c r="G237" s="75" t="s">
        <v>2145</v>
      </c>
    </row>
    <row r="238" spans="1:7">
      <c r="A238" s="16"/>
      <c r="B238" s="16" t="str">
        <f t="shared" si="6"/>
        <v>Evacuation d'air: séjour, cuisine et salle de bain</v>
      </c>
      <c r="C238" s="75" t="s">
        <v>803</v>
      </c>
      <c r="D238" s="75" t="s">
        <v>1194</v>
      </c>
      <c r="E238" s="75" t="s">
        <v>965</v>
      </c>
      <c r="F238" s="75" t="s">
        <v>1446</v>
      </c>
      <c r="G238" s="75" t="s">
        <v>2147</v>
      </c>
    </row>
    <row r="239" spans="1:7">
      <c r="A239" s="16"/>
      <c r="B239" s="16" t="str">
        <f t="shared" si="6"/>
        <v>Installations électriques, bureau</v>
      </c>
      <c r="C239" s="75" t="s">
        <v>804</v>
      </c>
      <c r="D239" s="75" t="s">
        <v>1195</v>
      </c>
      <c r="E239" s="75" t="s">
        <v>966</v>
      </c>
      <c r="F239" s="75" t="s">
        <v>1447</v>
      </c>
      <c r="G239" s="75" t="s">
        <v>2150</v>
      </c>
    </row>
    <row r="240" spans="1:7">
      <c r="A240" s="16"/>
      <c r="B240" s="16" t="str">
        <f t="shared" si="6"/>
        <v>Installations électriques, habitation</v>
      </c>
      <c r="C240" s="75" t="s">
        <v>805</v>
      </c>
      <c r="D240" s="75" t="s">
        <v>1196</v>
      </c>
      <c r="E240" s="75" t="s">
        <v>967</v>
      </c>
      <c r="F240" s="75" t="s">
        <v>1448</v>
      </c>
      <c r="G240" s="75" t="s">
        <v>2151</v>
      </c>
    </row>
    <row r="241" spans="1:7">
      <c r="A241" s="16"/>
      <c r="B241" s="16" t="str">
        <f t="shared" si="6"/>
        <v>Sondes géothermiques, pour pompe à chaleur saumure-eau</v>
      </c>
      <c r="C241" s="75" t="s">
        <v>806</v>
      </c>
      <c r="D241" s="75" t="s">
        <v>1197</v>
      </c>
      <c r="E241" s="75" t="s">
        <v>968</v>
      </c>
      <c r="F241" s="75" t="s">
        <v>1449</v>
      </c>
      <c r="G241" s="75" t="s">
        <v>2152</v>
      </c>
    </row>
    <row r="242" spans="1:7">
      <c r="A242" s="16"/>
      <c r="B242" s="16" t="str">
        <f t="shared" si="6"/>
        <v>Collecteurs solaires plans, chauffage et eau chaude  maison individuelle</v>
      </c>
      <c r="C242" s="75" t="s">
        <v>807</v>
      </c>
      <c r="D242" s="75" t="s">
        <v>1198</v>
      </c>
      <c r="E242" s="75" t="s">
        <v>969</v>
      </c>
      <c r="F242" s="75" t="s">
        <v>1450</v>
      </c>
      <c r="G242" s="75" t="s">
        <v>2154</v>
      </c>
    </row>
    <row r="243" spans="1:7">
      <c r="A243" s="16"/>
      <c r="B243" s="16" t="str">
        <f t="shared" si="6"/>
        <v>Collecteurs solaires plans, eau chaude maison individuelle</v>
      </c>
      <c r="C243" s="75" t="s">
        <v>808</v>
      </c>
      <c r="D243" s="75" t="s">
        <v>1199</v>
      </c>
      <c r="E243" s="75" t="s">
        <v>970</v>
      </c>
      <c r="F243" s="75" t="s">
        <v>1451</v>
      </c>
      <c r="G243" s="75" t="s">
        <v>2155</v>
      </c>
    </row>
    <row r="244" spans="1:7">
      <c r="A244" s="16"/>
      <c r="B244" s="16" t="str">
        <f t="shared" si="6"/>
        <v>Collecteurs solaires plans, eau chaude habitat collectif</v>
      </c>
      <c r="C244" s="75" t="s">
        <v>809</v>
      </c>
      <c r="D244" s="75" t="s">
        <v>1200</v>
      </c>
      <c r="E244" s="75" t="s">
        <v>971</v>
      </c>
      <c r="F244" s="75" t="s">
        <v>1452</v>
      </c>
      <c r="G244" s="75" t="s">
        <v>2156</v>
      </c>
    </row>
    <row r="245" spans="1:7">
      <c r="A245" s="16"/>
      <c r="B245" s="16" t="str">
        <f t="shared" si="6"/>
        <v>Ventilation bureau (4 m3/h*m2)</v>
      </c>
      <c r="C245" s="75" t="s">
        <v>810</v>
      </c>
      <c r="D245" s="75" t="s">
        <v>1201</v>
      </c>
      <c r="E245" s="75" t="s">
        <v>972</v>
      </c>
      <c r="F245" s="75" t="s">
        <v>1453</v>
      </c>
      <c r="G245" s="75" t="s">
        <v>2157</v>
      </c>
    </row>
    <row r="246" spans="1:7">
      <c r="A246" s="16"/>
      <c r="B246" s="16" t="str">
        <f t="shared" si="6"/>
        <v>Ventilation école, réunion (8 m3/h*m2)</v>
      </c>
      <c r="C246" s="75" t="s">
        <v>811</v>
      </c>
      <c r="D246" s="75" t="s">
        <v>1202</v>
      </c>
      <c r="E246" s="75" t="s">
        <v>973</v>
      </c>
      <c r="F246" s="75" t="s">
        <v>1454</v>
      </c>
      <c r="G246" s="75" t="s">
        <v>2159</v>
      </c>
    </row>
    <row r="247" spans="1:7">
      <c r="A247" s="16"/>
      <c r="B247" s="16" t="str">
        <f t="shared" si="6"/>
        <v>Ventilation habitation, canaux en tôle, évacuation d'air cuisine inclue</v>
      </c>
      <c r="C247" s="75" t="s">
        <v>812</v>
      </c>
      <c r="D247" s="75" t="s">
        <v>1203</v>
      </c>
      <c r="E247" s="75" t="s">
        <v>974</v>
      </c>
      <c r="F247" s="75" t="s">
        <v>1455</v>
      </c>
      <c r="G247" s="75" t="s">
        <v>2161</v>
      </c>
    </row>
    <row r="248" spans="1:7">
      <c r="A248" s="16"/>
      <c r="B248" s="16" t="str">
        <f t="shared" si="6"/>
        <v xml:space="preserve">Ventilation habitation, canaux en PE, évacuation d'air cuisine inclue </v>
      </c>
      <c r="C248" s="75" t="s">
        <v>813</v>
      </c>
      <c r="D248" s="75" t="s">
        <v>1204</v>
      </c>
      <c r="E248" s="75" t="s">
        <v>975</v>
      </c>
      <c r="F248" s="75" t="s">
        <v>1456</v>
      </c>
      <c r="G248" s="75" t="s">
        <v>2162</v>
      </c>
    </row>
    <row r="249" spans="1:7">
      <c r="A249" s="16"/>
      <c r="B249" s="16" t="str">
        <f t="shared" ref="B249:B280" si="7">INDEX($C249:$F249,1,MATCH(Sprachwahl,ListSprache,0))</f>
        <v>Ventilation bureau, besoins en air 6 m3/hm2 SRE</v>
      </c>
      <c r="C249" s="75" t="s">
        <v>814</v>
      </c>
      <c r="D249" s="75" t="s">
        <v>1205</v>
      </c>
      <c r="E249" s="75" t="s">
        <v>976</v>
      </c>
      <c r="F249" s="75" t="s">
        <v>1457</v>
      </c>
      <c r="G249" s="75" t="s">
        <v>2163</v>
      </c>
    </row>
    <row r="250" spans="1:7">
      <c r="A250" s="16"/>
      <c r="B250" s="16" t="str">
        <f t="shared" si="7"/>
        <v>Installations sanitaires, bureau, degré de complexité élevé, appareils et conduites compris</v>
      </c>
      <c r="C250" s="75" t="s">
        <v>815</v>
      </c>
      <c r="D250" s="75" t="s">
        <v>1206</v>
      </c>
      <c r="E250" s="75" t="s">
        <v>977</v>
      </c>
      <c r="F250" s="75" t="s">
        <v>1458</v>
      </c>
      <c r="G250" s="75" t="s">
        <v>2166</v>
      </c>
    </row>
    <row r="251" spans="1:7">
      <c r="A251" s="16"/>
      <c r="B251" s="16" t="str">
        <f t="shared" si="7"/>
        <v>Installations sanitaires, bureau, degré de complexité faible, appareils et conduites compris</v>
      </c>
      <c r="C251" s="75" t="s">
        <v>816</v>
      </c>
      <c r="D251" s="75" t="s">
        <v>1207</v>
      </c>
      <c r="E251" s="75" t="s">
        <v>978</v>
      </c>
      <c r="F251" s="75" t="s">
        <v>1459</v>
      </c>
      <c r="G251" s="75" t="s">
        <v>2167</v>
      </c>
    </row>
    <row r="252" spans="1:7">
      <c r="A252" s="16"/>
      <c r="B252" s="16" t="str">
        <f t="shared" si="7"/>
        <v>Installations sanitaires, habitations, appareils et conduites compris</v>
      </c>
      <c r="C252" s="75" t="s">
        <v>817</v>
      </c>
      <c r="D252" s="75" t="s">
        <v>1208</v>
      </c>
      <c r="E252" s="75" t="s">
        <v>979</v>
      </c>
      <c r="F252" s="75" t="s">
        <v>1460</v>
      </c>
      <c r="G252" s="75" t="s">
        <v>2168</v>
      </c>
    </row>
    <row r="253" spans="1:7">
      <c r="A253" s="16"/>
      <c r="B253" s="16" t="str">
        <f t="shared" si="7"/>
        <v>Installation photovoltaïque façade</v>
      </c>
      <c r="C253" s="75" t="s">
        <v>818</v>
      </c>
      <c r="D253" s="75" t="s">
        <v>1209</v>
      </c>
      <c r="E253" s="75" t="s">
        <v>980</v>
      </c>
      <c r="F253" s="75" t="s">
        <v>1461</v>
      </c>
      <c r="G253" s="75" t="s">
        <v>2171</v>
      </c>
    </row>
    <row r="254" spans="1:7">
      <c r="A254" s="16"/>
      <c r="B254" s="16" t="str">
        <f t="shared" si="7"/>
        <v>Installation photovoltaïque toiture plate</v>
      </c>
      <c r="C254" s="75" t="s">
        <v>819</v>
      </c>
      <c r="D254" s="75" t="s">
        <v>1210</v>
      </c>
      <c r="E254" s="75" t="s">
        <v>981</v>
      </c>
      <c r="F254" s="75" t="s">
        <v>1462</v>
      </c>
      <c r="G254" s="75" t="s">
        <v>2172</v>
      </c>
    </row>
    <row r="255" spans="1:7">
      <c r="A255" s="16"/>
      <c r="B255" s="16" t="str">
        <f t="shared" si="7"/>
        <v>Installation photovoltaïque toiture inclinée</v>
      </c>
      <c r="C255" s="75" t="s">
        <v>820</v>
      </c>
      <c r="D255" s="75" t="s">
        <v>1211</v>
      </c>
      <c r="E255" s="75" t="s">
        <v>982</v>
      </c>
      <c r="F255" s="75" t="s">
        <v>1463</v>
      </c>
      <c r="G255" s="75" t="s">
        <v>2173</v>
      </c>
    </row>
    <row r="256" spans="1:7">
      <c r="A256" s="16"/>
      <c r="B256" s="16" t="str">
        <f t="shared" si="7"/>
        <v>Diffusion de chaleur par chauffage au sol</v>
      </c>
      <c r="C256" s="75" t="s">
        <v>821</v>
      </c>
      <c r="D256" s="75" t="s">
        <v>1212</v>
      </c>
      <c r="E256" s="75" t="s">
        <v>983</v>
      </c>
      <c r="F256" s="75" t="s">
        <v>1464</v>
      </c>
      <c r="G256" s="75" t="s">
        <v>2174</v>
      </c>
    </row>
    <row r="257" spans="1:7">
      <c r="A257" s="16"/>
      <c r="B257" s="16" t="str">
        <f t="shared" si="7"/>
        <v>Diffusion de chaleur par corps de chauffe</v>
      </c>
      <c r="C257" s="75" t="s">
        <v>822</v>
      </c>
      <c r="D257" s="75" t="s">
        <v>1213</v>
      </c>
      <c r="E257" s="75" t="s">
        <v>984</v>
      </c>
      <c r="F257" s="75" t="s">
        <v>1465</v>
      </c>
      <c r="G257" s="75" t="s">
        <v>2175</v>
      </c>
    </row>
    <row r="258" spans="1:7">
      <c r="A258" s="16"/>
      <c r="B258" s="16" t="str">
        <f t="shared" si="7"/>
        <v>Diffusion de chaleur par système de chauffage et refroidissement au plafond (pas de faux-plafond en plâtre ou en métal)</v>
      </c>
      <c r="C258" s="75" t="s">
        <v>823</v>
      </c>
      <c r="D258" s="75" t="s">
        <v>1214</v>
      </c>
      <c r="E258" s="75" t="s">
        <v>985</v>
      </c>
      <c r="F258" s="75" t="s">
        <v>1466</v>
      </c>
      <c r="G258" s="75" t="s">
        <v>2176</v>
      </c>
    </row>
    <row r="259" spans="1:7">
      <c r="A259" s="16"/>
      <c r="B259" s="16" t="str">
        <f t="shared" si="7"/>
        <v>Production de chaleur, besoins en puissance 10 W/m2</v>
      </c>
      <c r="C259" s="75" t="s">
        <v>824</v>
      </c>
      <c r="D259" s="75" t="s">
        <v>1215</v>
      </c>
      <c r="E259" s="75" t="s">
        <v>986</v>
      </c>
      <c r="F259" s="75" t="s">
        <v>1467</v>
      </c>
      <c r="G259" s="75" t="s">
        <v>2177</v>
      </c>
    </row>
    <row r="260" spans="1:7">
      <c r="A260" s="16"/>
      <c r="B260" s="16" t="str">
        <f t="shared" si="7"/>
        <v>Production de chaleur, besoins en puissance 30 W/m2</v>
      </c>
      <c r="C260" s="75" t="s">
        <v>825</v>
      </c>
      <c r="D260" s="75" t="s">
        <v>1216</v>
      </c>
      <c r="E260" s="75" t="s">
        <v>987</v>
      </c>
      <c r="F260" s="75" t="s">
        <v>1468</v>
      </c>
      <c r="G260" s="75" t="s">
        <v>2178</v>
      </c>
    </row>
    <row r="261" spans="1:7">
      <c r="A261" s="16"/>
      <c r="B261" s="16" t="str">
        <f t="shared" si="7"/>
        <v>Production de chaleur, besoins en puissance 50 W/m2</v>
      </c>
      <c r="C261" s="75" t="s">
        <v>826</v>
      </c>
      <c r="D261" s="75" t="s">
        <v>1217</v>
      </c>
      <c r="E261" s="75" t="s">
        <v>988</v>
      </c>
      <c r="F261" s="75" t="s">
        <v>1469</v>
      </c>
      <c r="G261" s="75" t="s">
        <v>2179</v>
      </c>
    </row>
    <row r="262" spans="1:7">
      <c r="A262" s="16"/>
      <c r="B262" s="16" t="str">
        <f t="shared" si="7"/>
        <v>Distribution de chaleur, administration</v>
      </c>
      <c r="C262" s="75" t="s">
        <v>827</v>
      </c>
      <c r="D262" s="75" t="s">
        <v>1218</v>
      </c>
      <c r="E262" s="75" t="s">
        <v>989</v>
      </c>
      <c r="F262" s="75" t="s">
        <v>1470</v>
      </c>
      <c r="G262" s="75" t="s">
        <v>2181</v>
      </c>
    </row>
    <row r="263" spans="1:7">
      <c r="A263" s="16"/>
      <c r="B263" s="16" t="str">
        <f t="shared" si="7"/>
        <v>Distribution et diffusion de chaleur, chauffage à air chaud</v>
      </c>
      <c r="C263" s="75" t="s">
        <v>828</v>
      </c>
      <c r="D263" s="75" t="s">
        <v>1219</v>
      </c>
      <c r="E263" s="75" t="s">
        <v>990</v>
      </c>
      <c r="F263" s="75" t="s">
        <v>1471</v>
      </c>
      <c r="G263" s="75" t="s">
        <v>2184</v>
      </c>
    </row>
    <row r="264" spans="1:7">
      <c r="A264" s="16"/>
      <c r="B264" s="16" t="str">
        <f t="shared" si="7"/>
        <v>Distribution de chaleur, habitation</v>
      </c>
      <c r="C264" s="75" t="s">
        <v>829</v>
      </c>
      <c r="D264" s="75" t="s">
        <v>1220</v>
      </c>
      <c r="E264" s="75" t="s">
        <v>991</v>
      </c>
      <c r="F264" s="75" t="s">
        <v>1472</v>
      </c>
      <c r="G264" s="75" t="s">
        <v>2185</v>
      </c>
    </row>
    <row r="265" spans="1:7">
      <c r="A265" s="16"/>
      <c r="B265" s="16" t="str">
        <f t="shared" si="7"/>
        <v>Fenêtre en aluminium 3IV (CC)</v>
      </c>
      <c r="C265" s="75" t="s">
        <v>641</v>
      </c>
      <c r="D265" s="75" t="s">
        <v>1221</v>
      </c>
      <c r="E265" s="75" t="s">
        <v>992</v>
      </c>
      <c r="F265" s="75" t="s">
        <v>1473</v>
      </c>
      <c r="G265" s="75" t="s">
        <v>2186</v>
      </c>
    </row>
    <row r="266" spans="1:7">
      <c r="A266" s="16"/>
      <c r="B266" s="16" t="str">
        <f t="shared" si="7"/>
        <v>Porte extérieure, bois (CC)</v>
      </c>
      <c r="C266" s="75" t="s">
        <v>642</v>
      </c>
      <c r="D266" s="75" t="s">
        <v>1222</v>
      </c>
      <c r="E266" s="75" t="s">
        <v>993</v>
      </c>
      <c r="F266" s="75" t="s">
        <v>1474</v>
      </c>
      <c r="G266" s="75" t="s">
        <v>2187</v>
      </c>
    </row>
    <row r="267" spans="1:7">
      <c r="A267" s="16"/>
      <c r="B267" s="16" t="str">
        <f t="shared" si="7"/>
        <v>Fenêtre en bois 3IV (CC)</v>
      </c>
      <c r="C267" s="75" t="s">
        <v>638</v>
      </c>
      <c r="D267" s="75" t="s">
        <v>1223</v>
      </c>
      <c r="E267" s="75" t="s">
        <v>994</v>
      </c>
      <c r="F267" s="75" t="s">
        <v>1475</v>
      </c>
      <c r="G267" s="75" t="s">
        <v>2188</v>
      </c>
    </row>
    <row r="268" spans="1:7">
      <c r="A268" s="16"/>
      <c r="B268" s="16" t="str">
        <f t="shared" si="7"/>
        <v>Fenêtre bois-métal 3IV (CC)</v>
      </c>
      <c r="C268" s="75" t="s">
        <v>639</v>
      </c>
      <c r="D268" s="75" t="s">
        <v>1224</v>
      </c>
      <c r="E268" s="75" t="s">
        <v>995</v>
      </c>
      <c r="F268" s="75" t="s">
        <v>1476</v>
      </c>
      <c r="G268" s="75" t="s">
        <v>2189</v>
      </c>
    </row>
    <row r="269" spans="1:7">
      <c r="A269" s="16"/>
      <c r="B269" s="16" t="str">
        <f t="shared" si="7"/>
        <v>Fenêtre en matière synthétique 3IV (CC)</v>
      </c>
      <c r="C269" s="75" t="s">
        <v>640</v>
      </c>
      <c r="D269" s="75" t="s">
        <v>1225</v>
      </c>
      <c r="E269" s="75" t="s">
        <v>996</v>
      </c>
      <c r="F269" s="75" t="s">
        <v>1477</v>
      </c>
      <c r="G269" s="75" t="s">
        <v>2190</v>
      </c>
    </row>
    <row r="270" spans="1:7">
      <c r="A270" s="16"/>
      <c r="B270" s="16" t="str">
        <f t="shared" si="7"/>
        <v>Excavation (SIA 2032)</v>
      </c>
      <c r="C270" s="75" t="s">
        <v>795</v>
      </c>
      <c r="D270" s="75" t="s">
        <v>1478</v>
      </c>
      <c r="E270" s="75" t="s">
        <v>1532</v>
      </c>
      <c r="F270" s="75" t="s">
        <v>1478</v>
      </c>
      <c r="G270" s="75" t="s">
        <v>2053</v>
      </c>
    </row>
    <row r="271" spans="1:7">
      <c r="A271" s="16"/>
      <c r="B271" s="16" t="str">
        <f t="shared" si="7"/>
        <v>Fermeture de la fosse du bâtiment, paroi berlinoise (SIA 2032)</v>
      </c>
      <c r="C271" s="75" t="s">
        <v>796</v>
      </c>
      <c r="D271" s="75" t="s">
        <v>1559</v>
      </c>
      <c r="E271" s="75" t="s">
        <v>1560</v>
      </c>
      <c r="F271" s="75" t="s">
        <v>1561</v>
      </c>
      <c r="G271" s="75" t="s">
        <v>2055</v>
      </c>
    </row>
    <row r="272" spans="1:7">
      <c r="A272" s="16"/>
      <c r="B272" s="16" t="str">
        <f t="shared" si="7"/>
        <v>Fermeture de fosse du bâtiment, paroi de membrane (SIA 2032)</v>
      </c>
      <c r="C272" s="75" t="s">
        <v>1563</v>
      </c>
      <c r="D272" s="75" t="s">
        <v>1565</v>
      </c>
      <c r="E272" s="75" t="s">
        <v>1566</v>
      </c>
      <c r="F272" s="75" t="s">
        <v>1562</v>
      </c>
      <c r="G272" s="75" t="s">
        <v>2054</v>
      </c>
    </row>
    <row r="273" spans="1:7">
      <c r="A273" s="16"/>
      <c r="B273" s="16" t="str">
        <f t="shared" si="7"/>
        <v>Fin de la fouille, paroi de palplanches (SIA 2032)</v>
      </c>
      <c r="C273" s="75" t="s">
        <v>797</v>
      </c>
      <c r="D273" s="75" t="s">
        <v>1505</v>
      </c>
      <c r="E273" s="75" t="s">
        <v>1567</v>
      </c>
      <c r="F273" s="75" t="s">
        <v>1564</v>
      </c>
      <c r="G273" s="75" t="s">
        <v>2056</v>
      </c>
    </row>
    <row r="274" spans="1:7">
      <c r="A274" s="16"/>
      <c r="B274" s="16" t="str">
        <f t="shared" si="7"/>
        <v>Pile, micro-pile (SIA 2032)</v>
      </c>
      <c r="C274" s="75" t="s">
        <v>798</v>
      </c>
      <c r="D274" s="75" t="s">
        <v>1506</v>
      </c>
      <c r="E274" s="75" t="s">
        <v>1533</v>
      </c>
      <c r="F274" s="75" t="s">
        <v>1479</v>
      </c>
      <c r="G274" s="75" t="s">
        <v>2059</v>
      </c>
    </row>
    <row r="275" spans="1:7">
      <c r="A275" s="16"/>
      <c r="B275" s="16" t="str">
        <f t="shared" si="7"/>
        <v>Pieu, pieu de déplacement en béton in situ (SIA 2032)</v>
      </c>
      <c r="C275" s="75" t="s">
        <v>799</v>
      </c>
      <c r="D275" s="75" t="s">
        <v>1507</v>
      </c>
      <c r="E275" s="75" t="s">
        <v>1534</v>
      </c>
      <c r="F275" s="75" t="s">
        <v>1480</v>
      </c>
      <c r="G275" s="75" t="s">
        <v>2060</v>
      </c>
    </row>
    <row r="276" spans="1:7">
      <c r="A276" s="16"/>
      <c r="B276" s="16" t="str">
        <f t="shared" si="7"/>
        <v>Pile, pieu en béton préfabriqué (SIA 2032)</v>
      </c>
      <c r="C276" s="75" t="s">
        <v>800</v>
      </c>
      <c r="D276" s="75" t="s">
        <v>1508</v>
      </c>
      <c r="E276" s="75" t="s">
        <v>1535</v>
      </c>
      <c r="F276" s="75" t="s">
        <v>1481</v>
      </c>
      <c r="G276" s="75" t="s">
        <v>2061</v>
      </c>
    </row>
    <row r="277" spans="1:7">
      <c r="A277" s="16"/>
      <c r="B277" s="16" t="str">
        <f t="shared" si="7"/>
        <v>Plaque de base, fondation non isolée (SIA 2032)</v>
      </c>
      <c r="C277" s="75" t="s">
        <v>764</v>
      </c>
      <c r="D277" s="75" t="s">
        <v>1509</v>
      </c>
      <c r="E277" s="75" t="s">
        <v>1536</v>
      </c>
      <c r="F277" s="75" t="s">
        <v>1482</v>
      </c>
      <c r="G277" s="75" t="s">
        <v>2063</v>
      </c>
    </row>
    <row r="278" spans="1:7">
      <c r="A278" s="16"/>
      <c r="B278" s="16" t="str">
        <f t="shared" si="7"/>
        <v>Plaque de base, fondation isolée (SIA 2032)</v>
      </c>
      <c r="C278" s="75" t="s">
        <v>765</v>
      </c>
      <c r="D278" s="75" t="s">
        <v>1530</v>
      </c>
      <c r="E278" s="75" t="s">
        <v>1537</v>
      </c>
      <c r="F278" s="75" t="s">
        <v>1483</v>
      </c>
      <c r="G278" s="75" t="s">
        <v>2062</v>
      </c>
    </row>
    <row r="279" spans="1:7">
      <c r="A279" s="16"/>
      <c r="B279" s="16" t="str">
        <f t="shared" si="7"/>
        <v>Mur extérieur sous terrain non isolé (SIA 2032)</v>
      </c>
      <c r="C279" s="76" t="s">
        <v>766</v>
      </c>
      <c r="D279" s="75" t="s">
        <v>1510</v>
      </c>
      <c r="E279" s="75" t="s">
        <v>1538</v>
      </c>
      <c r="F279" s="75" t="s">
        <v>1484</v>
      </c>
      <c r="G279" s="75" t="s">
        <v>2068</v>
      </c>
    </row>
    <row r="280" spans="1:7">
      <c r="A280" s="16"/>
      <c r="B280" s="16" t="str">
        <f t="shared" si="7"/>
        <v>Paroi extérieure isolée sous terrain (SIA 2032)</v>
      </c>
      <c r="C280" s="75" t="s">
        <v>767</v>
      </c>
      <c r="D280" s="75" t="s">
        <v>1531</v>
      </c>
      <c r="E280" s="75" t="s">
        <v>1539</v>
      </c>
      <c r="F280" s="75" t="s">
        <v>1485</v>
      </c>
      <c r="G280" s="75" t="s">
        <v>2067</v>
      </c>
    </row>
    <row r="281" spans="1:7">
      <c r="A281" s="16"/>
      <c r="B281" s="16" t="str">
        <f t="shared" ref="B281:B312" si="8">INDEX($C281:$F281,1,MATCH(Sprachwahl,ListSprache,0))</f>
        <v>Toit sous terrain non isolé (SIA 2032)</v>
      </c>
      <c r="C281" s="75" t="s">
        <v>768</v>
      </c>
      <c r="D281" s="75" t="s">
        <v>1511</v>
      </c>
      <c r="E281" s="75" t="s">
        <v>1540</v>
      </c>
      <c r="F281" s="75" t="s">
        <v>1486</v>
      </c>
      <c r="G281" s="75" t="s">
        <v>2132</v>
      </c>
    </row>
    <row r="282" spans="1:7">
      <c r="A282" s="16"/>
      <c r="B282" s="16" t="str">
        <f t="shared" si="8"/>
        <v>Toiture isolée sous le terrain (SIA 2032)</v>
      </c>
      <c r="C282" s="75" t="s">
        <v>769</v>
      </c>
      <c r="D282" s="75" t="s">
        <v>1512</v>
      </c>
      <c r="E282" s="75" t="s">
        <v>1541</v>
      </c>
      <c r="F282" s="75" t="s">
        <v>1487</v>
      </c>
      <c r="G282" s="75" t="s">
        <v>2131</v>
      </c>
    </row>
    <row r="283" spans="1:7">
      <c r="A283" s="16"/>
      <c r="B283" s="16" t="str">
        <f t="shared" si="8"/>
        <v>Mur en béton avec enduit intérieur, parois extérieur en briques (SIA 2032)</v>
      </c>
      <c r="C283" s="75" t="s">
        <v>1870</v>
      </c>
      <c r="D283" s="75" t="s">
        <v>1853</v>
      </c>
      <c r="E283" s="75" t="s">
        <v>1855</v>
      </c>
      <c r="F283" s="75" t="s">
        <v>1887</v>
      </c>
      <c r="G283" s="75" t="s">
        <v>2079</v>
      </c>
    </row>
    <row r="284" spans="1:7">
      <c r="A284" s="16"/>
      <c r="B284" s="16" t="str">
        <f t="shared" si="8"/>
        <v>Mur en béton avec enduit intérieur, revêtement en fibrociment/pierre (SIA 2032)</v>
      </c>
      <c r="C284" s="75" t="s">
        <v>1885</v>
      </c>
      <c r="D284" s="75" t="s">
        <v>1896</v>
      </c>
      <c r="E284" s="75" t="s">
        <v>1890</v>
      </c>
      <c r="F284" s="75" t="s">
        <v>1857</v>
      </c>
      <c r="G284" s="75" t="s">
        <v>2080</v>
      </c>
    </row>
    <row r="285" spans="1:7">
      <c r="A285" s="16"/>
      <c r="B285" s="16" t="str">
        <f t="shared" si="8"/>
        <v>Mur en béton avec enduit intérieur, revêtement en métal/verre (SIA 2032)</v>
      </c>
      <c r="C285" s="75" t="s">
        <v>1886</v>
      </c>
      <c r="D285" s="75" t="s">
        <v>1897</v>
      </c>
      <c r="E285" s="75" t="s">
        <v>1891</v>
      </c>
      <c r="F285" s="75" t="s">
        <v>1858</v>
      </c>
      <c r="G285" s="75" t="s">
        <v>2081</v>
      </c>
    </row>
    <row r="286" spans="1:7">
      <c r="A286" s="16"/>
      <c r="B286" s="16" t="str">
        <f t="shared" si="8"/>
        <v>Mur en béton avec enduit intérieur, isolation extérieure crépie (SIA 2032)</v>
      </c>
      <c r="C286" s="75" t="s">
        <v>1871</v>
      </c>
      <c r="D286" s="75" t="s">
        <v>1854</v>
      </c>
      <c r="E286" s="75" t="s">
        <v>1856</v>
      </c>
      <c r="F286" s="75" t="s">
        <v>1859</v>
      </c>
      <c r="G286" s="75" t="s">
        <v>2082</v>
      </c>
    </row>
    <row r="287" spans="1:7">
      <c r="A287" s="16"/>
      <c r="B287" s="16" t="str">
        <f t="shared" si="8"/>
        <v>Mur en briques avec enduit intérieur, double paroi (SIA 2032)</v>
      </c>
      <c r="C287" s="75" t="s">
        <v>1872</v>
      </c>
      <c r="D287" s="75" t="s">
        <v>1883</v>
      </c>
      <c r="E287" s="75" t="s">
        <v>1848</v>
      </c>
      <c r="F287" s="75" t="s">
        <v>1847</v>
      </c>
      <c r="G287" s="75" t="s">
        <v>2074</v>
      </c>
    </row>
    <row r="288" spans="1:7">
      <c r="A288" s="16"/>
      <c r="B288" s="16" t="str">
        <f t="shared" si="8"/>
        <v>Mur en briques avec enduit intérieur, revêtement en fibrociment/pierre (SIA 2032)</v>
      </c>
      <c r="C288" s="75" t="s">
        <v>1873</v>
      </c>
      <c r="D288" s="75" t="s">
        <v>1898</v>
      </c>
      <c r="E288" s="75" t="s">
        <v>1892</v>
      </c>
      <c r="F288" s="75" t="s">
        <v>1850</v>
      </c>
      <c r="G288" s="75" t="s">
        <v>2075</v>
      </c>
    </row>
    <row r="289" spans="1:7">
      <c r="A289" s="16"/>
      <c r="B289" s="16" t="str">
        <f t="shared" si="8"/>
        <v>Mur en briques avec enduit intérieur, revêtementen bois (SIA 2032)</v>
      </c>
      <c r="C289" s="75" t="s">
        <v>1874</v>
      </c>
      <c r="D289" s="75" t="s">
        <v>1899</v>
      </c>
      <c r="E289" s="75" t="s">
        <v>1893</v>
      </c>
      <c r="F289" s="75" t="s">
        <v>1851</v>
      </c>
      <c r="G289" s="75" t="s">
        <v>2076</v>
      </c>
    </row>
    <row r="290" spans="1:7">
      <c r="A290" s="16"/>
      <c r="B290" s="16" t="str">
        <f t="shared" si="8"/>
        <v>Mur en briques avec enduit intérieur, revêtement en métal/verre (SIA 2032)</v>
      </c>
      <c r="C290" s="75" t="s">
        <v>1875</v>
      </c>
      <c r="D290" s="75" t="s">
        <v>1900</v>
      </c>
      <c r="E290" s="75" t="s">
        <v>1894</v>
      </c>
      <c r="F290" s="75" t="s">
        <v>1852</v>
      </c>
      <c r="G290" s="75" t="s">
        <v>2077</v>
      </c>
    </row>
    <row r="291" spans="1:7">
      <c r="A291" s="16"/>
      <c r="B291" s="16" t="str">
        <f t="shared" si="8"/>
        <v>Mur en briques avec enduit intérieur, isolation extérieure crépie (SIA 2032)</v>
      </c>
      <c r="C291" s="75" t="s">
        <v>1876</v>
      </c>
      <c r="D291" s="75" t="s">
        <v>1884</v>
      </c>
      <c r="E291" s="75" t="s">
        <v>1895</v>
      </c>
      <c r="F291" s="75" t="s">
        <v>1849</v>
      </c>
      <c r="G291" s="75" t="s">
        <v>2078</v>
      </c>
    </row>
    <row r="292" spans="1:7">
      <c r="A292" s="16"/>
      <c r="B292" s="16" t="str">
        <f t="shared" si="8"/>
        <v>Mur en bois, revêtement int. en plâtre, revêtement ext. en fibrociment/pierre (SIA 2032)</v>
      </c>
      <c r="C292" s="75" t="s">
        <v>1877</v>
      </c>
      <c r="D292" s="75" t="s">
        <v>1901</v>
      </c>
      <c r="E292" s="75" t="s">
        <v>1905</v>
      </c>
      <c r="F292" s="75" t="s">
        <v>1860</v>
      </c>
      <c r="G292" s="75" t="s">
        <v>2085</v>
      </c>
    </row>
    <row r="293" spans="1:7">
      <c r="A293" s="16"/>
      <c r="B293" s="16" t="str">
        <f t="shared" si="8"/>
        <v>Mur en bois, revêtement int. en plâtre, revêtement ext. en bois (SIA 2032)</v>
      </c>
      <c r="C293" s="75" t="s">
        <v>1878</v>
      </c>
      <c r="D293" s="75" t="s">
        <v>1902</v>
      </c>
      <c r="E293" s="75" t="s">
        <v>1906</v>
      </c>
      <c r="F293" s="75" t="s">
        <v>1861</v>
      </c>
      <c r="G293" s="75" t="s">
        <v>2086</v>
      </c>
    </row>
    <row r="294" spans="1:7">
      <c r="A294" s="16"/>
      <c r="B294" s="16" t="str">
        <f t="shared" si="8"/>
        <v>Mur en bois, revêtement int. en plâtre, revêtement ext. en métal/verre (SIA 2032)</v>
      </c>
      <c r="C294" s="75" t="s">
        <v>1879</v>
      </c>
      <c r="D294" s="75" t="s">
        <v>1903</v>
      </c>
      <c r="E294" s="75" t="s">
        <v>1907</v>
      </c>
      <c r="F294" s="75" t="s">
        <v>1862</v>
      </c>
      <c r="G294" s="75" t="s">
        <v>2087</v>
      </c>
    </row>
    <row r="295" spans="1:7">
      <c r="A295" s="16"/>
      <c r="B295" s="16" t="str">
        <f t="shared" si="8"/>
        <v>Maçonnerie isolante en briques avec enduit intérieur et extérieur (SIA 2032)</v>
      </c>
      <c r="C295" s="75" t="s">
        <v>1880</v>
      </c>
      <c r="D295" s="75" t="s">
        <v>1864</v>
      </c>
      <c r="E295" s="75" t="s">
        <v>1865</v>
      </c>
      <c r="F295" s="75" t="s">
        <v>1863</v>
      </c>
      <c r="G295" s="75" t="s">
        <v>2083</v>
      </c>
    </row>
    <row r="296" spans="1:7">
      <c r="A296" s="16"/>
      <c r="B296" s="16" t="str">
        <f t="shared" si="8"/>
        <v>Maçonnerie isolante en briques avec enduit intérieur, isolation ext. crépie (SIA 2032)</v>
      </c>
      <c r="C296" s="75" t="s">
        <v>1881</v>
      </c>
      <c r="D296" s="75" t="s">
        <v>1904</v>
      </c>
      <c r="E296" s="75" t="s">
        <v>1908</v>
      </c>
      <c r="F296" s="75" t="s">
        <v>1866</v>
      </c>
      <c r="G296" s="75" t="s">
        <v>2084</v>
      </c>
    </row>
    <row r="297" spans="1:7">
      <c r="A297" s="16"/>
      <c r="B297" s="16" t="str">
        <f t="shared" si="8"/>
        <v>Grille de colonnes avec système de façade aluminium/verre (SIA 2032)</v>
      </c>
      <c r="C297" s="75" t="s">
        <v>1882</v>
      </c>
      <c r="D297" s="75" t="s">
        <v>1867</v>
      </c>
      <c r="E297" s="75" t="s">
        <v>1868</v>
      </c>
      <c r="F297" s="75" t="s">
        <v>1869</v>
      </c>
      <c r="G297" s="75" t="s">
        <v>2088</v>
      </c>
    </row>
    <row r="298" spans="1:7">
      <c r="A298" s="16"/>
      <c r="B298" s="16" t="str">
        <f t="shared" si="8"/>
        <v>Fenêtre, valeur moyenne, 3 fois IV, y compris protection solaire (SIA 2032)</v>
      </c>
      <c r="C298" s="75" t="s">
        <v>770</v>
      </c>
      <c r="D298" s="75" t="s">
        <v>1568</v>
      </c>
      <c r="E298" s="75" t="s">
        <v>1569</v>
      </c>
      <c r="F298" s="75" t="s">
        <v>1488</v>
      </c>
      <c r="G298" s="75" t="s">
        <v>2191</v>
      </c>
    </row>
    <row r="299" spans="1:7">
      <c r="A299" s="16"/>
      <c r="B299" s="16" t="str">
        <f t="shared" si="8"/>
        <v>Plafond en béton 25 cm avec enduit intérieur, isolé (SIA 2032)</v>
      </c>
      <c r="C299" s="75" t="s">
        <v>1838</v>
      </c>
      <c r="D299" s="75" t="s">
        <v>1839</v>
      </c>
      <c r="E299" s="75" t="s">
        <v>1840</v>
      </c>
      <c r="F299" s="75" t="s">
        <v>1841</v>
      </c>
      <c r="G299" s="75" t="s">
        <v>2129</v>
      </c>
    </row>
    <row r="300" spans="1:7">
      <c r="A300" s="16"/>
      <c r="B300" s="16" t="str">
        <f t="shared" si="8"/>
        <v>Plafond en béton 40 cm avec enduit intérieur, isolé (SIA 2032)</v>
      </c>
      <c r="C300" s="75" t="s">
        <v>1842</v>
      </c>
      <c r="D300" s="75" t="s">
        <v>1843</v>
      </c>
      <c r="E300" s="75" t="s">
        <v>1844</v>
      </c>
      <c r="F300" s="75" t="s">
        <v>1845</v>
      </c>
      <c r="G300" s="75" t="s">
        <v>2130</v>
      </c>
    </row>
    <row r="301" spans="1:7">
      <c r="A301" s="16"/>
      <c r="B301" s="16" t="str">
        <f t="shared" si="8"/>
        <v>Plafond composite en tôle profilée, isolé (SIA 2032)</v>
      </c>
      <c r="C301" s="75" t="s">
        <v>1830</v>
      </c>
      <c r="D301" s="75" t="s">
        <v>1831</v>
      </c>
      <c r="E301" s="75" t="s">
        <v>1832</v>
      </c>
      <c r="F301" s="75" t="s">
        <v>1833</v>
      </c>
      <c r="G301" s="75" t="s">
        <v>2143</v>
      </c>
    </row>
    <row r="302" spans="1:7">
      <c r="A302" s="16"/>
      <c r="B302" s="16" t="str">
        <f t="shared" si="8"/>
        <v>Plafond en bois avec revêtement inférieur en plâtre, isolé (SIA 2032)</v>
      </c>
      <c r="C302" s="75" t="s">
        <v>1834</v>
      </c>
      <c r="D302" s="75" t="s">
        <v>1835</v>
      </c>
      <c r="E302" s="75" t="s">
        <v>1836</v>
      </c>
      <c r="F302" s="75" t="s">
        <v>1837</v>
      </c>
      <c r="G302" s="75" t="s">
        <v>2140</v>
      </c>
    </row>
    <row r="303" spans="1:7">
      <c r="A303" s="16"/>
      <c r="B303" s="16" t="str">
        <f t="shared" si="8"/>
        <v>Construction en bois, toit en pente, isolé (SIA 2032)</v>
      </c>
      <c r="C303" s="75" t="s">
        <v>1822</v>
      </c>
      <c r="D303" s="75" t="s">
        <v>1827</v>
      </c>
      <c r="E303" s="75" t="s">
        <v>1823</v>
      </c>
      <c r="F303" s="75" t="s">
        <v>1824</v>
      </c>
      <c r="G303" s="75" t="s">
        <v>2141</v>
      </c>
    </row>
    <row r="304" spans="1:7">
      <c r="A304" s="16"/>
      <c r="B304" s="16" t="str">
        <f t="shared" si="8"/>
        <v>Valeur moyenne des murs porteurs intérieurs (avec enduit intérieur) (SIA 2032)</v>
      </c>
      <c r="C304" s="75" t="s">
        <v>793</v>
      </c>
      <c r="D304" s="75" t="s">
        <v>1513</v>
      </c>
      <c r="E304" s="75" t="s">
        <v>1542</v>
      </c>
      <c r="F304" s="75" t="s">
        <v>1489</v>
      </c>
      <c r="G304" s="75" t="s">
        <v>2100</v>
      </c>
    </row>
    <row r="305" spans="1:7">
      <c r="A305" s="16"/>
      <c r="B305" s="16" t="str">
        <f t="shared" si="8"/>
        <v>Valeur moyenne paroi intérieure non porteuse (avec enduit intérieur) (SIA 2032)</v>
      </c>
      <c r="C305" s="75" t="s">
        <v>794</v>
      </c>
      <c r="D305" s="75" t="s">
        <v>1514</v>
      </c>
      <c r="E305" s="75" t="s">
        <v>1543</v>
      </c>
      <c r="F305" s="75" t="s">
        <v>1490</v>
      </c>
      <c r="G305" s="75" t="s">
        <v>2099</v>
      </c>
    </row>
    <row r="306" spans="1:7">
      <c r="A306" s="16"/>
      <c r="B306" s="16" t="str">
        <f t="shared" si="8"/>
        <v>Plafond en béton 25 cm avec enduit intérieur (SIA 2032)</v>
      </c>
      <c r="C306" s="75" t="s">
        <v>772</v>
      </c>
      <c r="D306" s="75" t="s">
        <v>1515</v>
      </c>
      <c r="E306" s="75" t="s">
        <v>1544</v>
      </c>
      <c r="F306" s="75" t="s">
        <v>1491</v>
      </c>
      <c r="G306" s="75" t="s">
        <v>2115</v>
      </c>
    </row>
    <row r="307" spans="1:7">
      <c r="A307" s="16"/>
      <c r="B307" s="16" t="str">
        <f t="shared" si="8"/>
        <v>Plafond à éléments en bois (avec revêtement inférieur en plâtre) (SIA 2032)</v>
      </c>
      <c r="C307" s="75" t="s">
        <v>773</v>
      </c>
      <c r="D307" s="75" t="s">
        <v>1516</v>
      </c>
      <c r="E307" s="75" t="s">
        <v>1545</v>
      </c>
      <c r="F307" s="75" t="s">
        <v>1492</v>
      </c>
      <c r="G307" s="75" t="s">
        <v>2122</v>
      </c>
    </row>
    <row r="308" spans="1:7">
      <c r="A308" s="16"/>
      <c r="B308" s="16" t="str">
        <f t="shared" si="8"/>
        <v>Composite bois-béton (avec revêtement inférieur en plâtre) (SIA 2032)</v>
      </c>
      <c r="C308" s="75" t="s">
        <v>774</v>
      </c>
      <c r="D308" s="75" t="s">
        <v>1517</v>
      </c>
      <c r="E308" s="75" t="s">
        <v>1546</v>
      </c>
      <c r="F308" s="75" t="s">
        <v>1493</v>
      </c>
      <c r="G308" s="75" t="s">
        <v>2120</v>
      </c>
    </row>
    <row r="309" spans="1:7">
      <c r="A309" s="16"/>
      <c r="B309" s="16" t="str">
        <f t="shared" si="8"/>
        <v>Revêtement de sol fini (sans sous-construction) (SIA 2032)</v>
      </c>
      <c r="C309" s="75" t="s">
        <v>775</v>
      </c>
      <c r="D309" s="75" t="s">
        <v>1518</v>
      </c>
      <c r="E309" s="75" t="s">
        <v>1547</v>
      </c>
      <c r="F309" s="75" t="s">
        <v>1494</v>
      </c>
      <c r="G309" s="75" t="s">
        <v>2194</v>
      </c>
    </row>
    <row r="310" spans="1:7">
      <c r="A310" s="16"/>
      <c r="B310" s="16" t="str">
        <f t="shared" si="8"/>
        <v>Sous-construction et revêtement de sol (SIA 2032)</v>
      </c>
      <c r="C310" s="75" t="s">
        <v>776</v>
      </c>
      <c r="D310" s="75" t="s">
        <v>1519</v>
      </c>
      <c r="E310" s="75" t="s">
        <v>1548</v>
      </c>
      <c r="F310" s="75" t="s">
        <v>1495</v>
      </c>
      <c r="G310" s="75" t="s">
        <v>2195</v>
      </c>
    </row>
    <row r="311" spans="1:7">
      <c r="A311" s="16"/>
      <c r="B311" s="16" t="str">
        <f t="shared" si="8"/>
        <v>Isolation contre la non-chauffée (SIA 2032)</v>
      </c>
      <c r="C311" s="75" t="s">
        <v>777</v>
      </c>
      <c r="D311" s="75" t="s">
        <v>1520</v>
      </c>
      <c r="E311" s="75" t="s">
        <v>1549</v>
      </c>
      <c r="F311" s="75" t="s">
        <v>1496</v>
      </c>
      <c r="G311" s="75" t="s">
        <v>2193</v>
      </c>
    </row>
    <row r="312" spans="1:7">
      <c r="A312" s="16"/>
      <c r="B312" s="16" t="str">
        <f t="shared" si="8"/>
        <v>Plafond d'installation suspendu (valeur moyenne) (SIA 2032)</v>
      </c>
      <c r="C312" s="75" t="s">
        <v>778</v>
      </c>
      <c r="D312" s="75" t="s">
        <v>1521</v>
      </c>
      <c r="E312" s="75" t="s">
        <v>1550</v>
      </c>
      <c r="F312" s="75" t="s">
        <v>1497</v>
      </c>
      <c r="G312" s="75" t="s">
        <v>2192</v>
      </c>
    </row>
    <row r="313" spans="1:7">
      <c r="A313" s="16"/>
      <c r="B313" s="16" t="str">
        <f t="shared" ref="B313:B327" si="9">INDEX($C313:$F313,1,MATCH(Sprachwahl,ListSprache,0))</f>
        <v>Balcon avec protection contre les chutes (SIA 2032)</v>
      </c>
      <c r="C313" s="75" t="s">
        <v>779</v>
      </c>
      <c r="D313" s="75" t="s">
        <v>1522</v>
      </c>
      <c r="E313" s="75" t="s">
        <v>1551</v>
      </c>
      <c r="F313" s="75" t="s">
        <v>1498</v>
      </c>
      <c r="G313" s="75" t="s">
        <v>2128</v>
      </c>
    </row>
    <row r="314" spans="1:7">
      <c r="A314" s="16"/>
      <c r="B314" s="16" t="str">
        <f t="shared" si="9"/>
        <v>Boîtier de l'installation électrique (SIA 2032)</v>
      </c>
      <c r="C314" s="75" t="s">
        <v>780</v>
      </c>
      <c r="D314" s="75" t="s">
        <v>1523</v>
      </c>
      <c r="E314" s="75" t="s">
        <v>1552</v>
      </c>
      <c r="F314" s="75" t="s">
        <v>1499</v>
      </c>
      <c r="G314" s="75" t="s">
        <v>2149</v>
      </c>
    </row>
    <row r="315" spans="1:7">
      <c r="A315" s="16"/>
      <c r="B315" s="16" t="str">
        <f t="shared" si="9"/>
        <v>Système électrique bureau (SIA 2032)</v>
      </c>
      <c r="C315" s="75" t="s">
        <v>781</v>
      </c>
      <c r="D315" s="75" t="s">
        <v>1524</v>
      </c>
      <c r="E315" s="75" t="s">
        <v>1553</v>
      </c>
      <c r="F315" s="75" t="s">
        <v>1500</v>
      </c>
      <c r="G315" s="75" t="s">
        <v>2148</v>
      </c>
    </row>
    <row r="316" spans="1:7">
      <c r="A316" s="16"/>
      <c r="B316" s="16" t="str">
        <f t="shared" si="9"/>
        <v>Installation solaire (1 m2 = 0,14 kWp) (SIA 2032)</v>
      </c>
      <c r="C316" s="75" t="s">
        <v>782</v>
      </c>
      <c r="D316" s="75" t="s">
        <v>1525</v>
      </c>
      <c r="E316" s="75" t="s">
        <v>1554</v>
      </c>
      <c r="F316" s="75" t="s">
        <v>1501</v>
      </c>
      <c r="G316" s="75" t="s">
        <v>2170</v>
      </c>
    </row>
    <row r="317" spans="1:7">
      <c r="A317" s="16"/>
      <c r="B317" s="16" t="str">
        <f t="shared" si="9"/>
        <v>Production de chaleur (SIA 2032)</v>
      </c>
      <c r="C317" s="75" t="s">
        <v>783</v>
      </c>
      <c r="D317" s="75" t="s">
        <v>1526</v>
      </c>
      <c r="E317" s="75" t="s">
        <v>1555</v>
      </c>
      <c r="F317" s="75" t="s">
        <v>1502</v>
      </c>
      <c r="G317" s="75" t="s">
        <v>2180</v>
      </c>
    </row>
    <row r="318" spans="1:7">
      <c r="A318" s="16"/>
      <c r="B318" s="16" t="str">
        <f t="shared" si="9"/>
        <v>Distribution et dégagement de chaleur pour immeubles résidentiels (SIA 2032)</v>
      </c>
      <c r="C318" s="75" t="s">
        <v>784</v>
      </c>
      <c r="D318" s="75" t="s">
        <v>1570</v>
      </c>
      <c r="E318" s="75" t="s">
        <v>1571</v>
      </c>
      <c r="F318" s="75" t="s">
        <v>1587</v>
      </c>
      <c r="G318" s="75" t="s">
        <v>2183</v>
      </c>
    </row>
    <row r="319" spans="1:7">
      <c r="A319" s="16"/>
      <c r="B319" s="16" t="str">
        <f t="shared" si="9"/>
        <v>Distribution et dégagement de chaleur pour immeubles de bureaux (SIA 2032)</v>
      </c>
      <c r="C319" s="75" t="s">
        <v>785</v>
      </c>
      <c r="D319" s="75" t="s">
        <v>1573</v>
      </c>
      <c r="E319" s="75" t="s">
        <v>1572</v>
      </c>
      <c r="F319" s="75" t="s">
        <v>1588</v>
      </c>
      <c r="G319" s="75" t="s">
        <v>2182</v>
      </c>
    </row>
    <row r="320" spans="1:7">
      <c r="A320" s="16"/>
      <c r="B320" s="16" t="str">
        <f t="shared" si="9"/>
        <v>Sondes géothermiques (SIA 2032)</v>
      </c>
      <c r="C320" s="75" t="s">
        <v>786</v>
      </c>
      <c r="D320" s="75" t="s">
        <v>1527</v>
      </c>
      <c r="E320" s="75" t="s">
        <v>1556</v>
      </c>
      <c r="F320" s="75" t="s">
        <v>1503</v>
      </c>
      <c r="G320" s="75" t="s">
        <v>2153</v>
      </c>
    </row>
    <row r="321" spans="1:7">
      <c r="A321" s="16"/>
      <c r="B321" s="16" t="str">
        <f t="shared" si="9"/>
        <v>Capteurs solaires (SIA 2032)</v>
      </c>
      <c r="C321" s="75" t="s">
        <v>787</v>
      </c>
      <c r="D321" s="75" t="s">
        <v>1528</v>
      </c>
      <c r="E321" s="75" t="s">
        <v>1557</v>
      </c>
      <c r="F321" s="75" t="s">
        <v>1504</v>
      </c>
      <c r="G321" s="75" t="s">
        <v>2169</v>
      </c>
    </row>
    <row r="322" spans="1:7">
      <c r="A322" s="16"/>
      <c r="B322" s="16" t="str">
        <f t="shared" si="9"/>
        <v>Système d'évacuation d'air de la cuisine et de la salle de bain (SIA 2032)</v>
      </c>
      <c r="C322" s="75" t="s">
        <v>788</v>
      </c>
      <c r="D322" s="75" t="s">
        <v>1529</v>
      </c>
      <c r="E322" s="75" t="s">
        <v>1558</v>
      </c>
      <c r="F322" s="75" t="s">
        <v>1582</v>
      </c>
      <c r="G322" s="75" t="s">
        <v>2146</v>
      </c>
    </row>
    <row r="323" spans="1:7">
      <c r="A323" s="16"/>
      <c r="B323" s="16" t="str">
        <f t="shared" si="9"/>
        <v>Système de ventilation pour immeubles résidentiels (SIA 2032)</v>
      </c>
      <c r="C323" s="75" t="s">
        <v>789</v>
      </c>
      <c r="D323" s="75" t="s">
        <v>1574</v>
      </c>
      <c r="E323" s="75" t="s">
        <v>1579</v>
      </c>
      <c r="F323" s="75" t="s">
        <v>1583</v>
      </c>
      <c r="G323" s="75" t="s">
        <v>2160</v>
      </c>
    </row>
    <row r="324" spans="1:7">
      <c r="A324" s="16"/>
      <c r="B324" s="16" t="str">
        <f t="shared" si="9"/>
        <v>Système de ventilation pour immeubles de bureaux (SIA 2032)</v>
      </c>
      <c r="C324" s="75" t="s">
        <v>790</v>
      </c>
      <c r="D324" s="75" t="s">
        <v>1575</v>
      </c>
      <c r="E324" s="75" t="s">
        <v>1578</v>
      </c>
      <c r="F324" s="75" t="s">
        <v>1584</v>
      </c>
      <c r="G324" s="75" t="s">
        <v>2158</v>
      </c>
    </row>
    <row r="325" spans="1:7">
      <c r="A325" s="16"/>
      <c r="B325" s="16" t="str">
        <f t="shared" si="9"/>
        <v>Installations sanitaires pour immeubles résidentiels (SIA 2032)</v>
      </c>
      <c r="C325" s="75" t="s">
        <v>791</v>
      </c>
      <c r="D325" s="75" t="s">
        <v>1576</v>
      </c>
      <c r="E325" s="75" t="s">
        <v>1580</v>
      </c>
      <c r="F325" s="75" t="s">
        <v>1585</v>
      </c>
      <c r="G325" s="75" t="s">
        <v>2165</v>
      </c>
    </row>
    <row r="326" spans="1:7">
      <c r="A326" s="16"/>
      <c r="B326" s="16" t="str">
        <f t="shared" si="9"/>
        <v>Installations sanitaires pour immeubles de bureaux (SIA 2032)</v>
      </c>
      <c r="C326" s="75" t="s">
        <v>792</v>
      </c>
      <c r="D326" s="75" t="s">
        <v>1577</v>
      </c>
      <c r="E326" s="75" t="s">
        <v>1581</v>
      </c>
      <c r="F326" s="75" t="s">
        <v>1586</v>
      </c>
      <c r="G326" s="75" t="s">
        <v>2164</v>
      </c>
    </row>
    <row r="327" spans="1:7">
      <c r="A327" s="16"/>
      <c r="B327" s="16" t="str">
        <f t="shared" si="9"/>
        <v>Construction en bois, toit en pente, non isolé (SIA 2032)</v>
      </c>
      <c r="C327" s="75" t="s">
        <v>1825</v>
      </c>
      <c r="D327" s="75" t="s">
        <v>1826</v>
      </c>
      <c r="E327" s="75" t="s">
        <v>1828</v>
      </c>
      <c r="F327" s="75" t="s">
        <v>1829</v>
      </c>
      <c r="G327" s="75" t="s">
        <v>2142</v>
      </c>
    </row>
    <row r="328" spans="1:7">
      <c r="A328" s="16"/>
      <c r="B328" s="16"/>
      <c r="C328" s="5"/>
      <c r="D328" s="17"/>
    </row>
    <row r="329" spans="1:7">
      <c r="A329" s="16"/>
      <c r="B329" s="16"/>
      <c r="D329" s="17"/>
    </row>
    <row r="330" spans="1:7">
      <c r="A330" s="16" t="s">
        <v>223</v>
      </c>
      <c r="B330" s="16" t="str">
        <f t="shared" ref="B330:B352" si="10">INDEX($C330:$F330,1,MATCH(Sprachwahl,ListSprache,0))</f>
        <v>Dalle de sol en béton, assainissement par l’intérieur avec chape en ciment, 14cm XPS (CC)</v>
      </c>
      <c r="C330" s="8" t="s">
        <v>700</v>
      </c>
      <c r="D330" s="8" t="s">
        <v>1226</v>
      </c>
      <c r="E330" s="8" t="s">
        <v>997</v>
      </c>
      <c r="F330" s="8" t="s">
        <v>1641</v>
      </c>
      <c r="G330" s="8" t="s">
        <v>2062</v>
      </c>
    </row>
    <row r="331" spans="1:7">
      <c r="A331" s="16"/>
      <c r="B331" s="16" t="str">
        <f t="shared" si="10"/>
        <v xml:space="preserve">Isolation thermique extérieure crépie sur maçonnerie, 20cm EPS (CC) </v>
      </c>
      <c r="C331" s="36" t="s">
        <v>701</v>
      </c>
      <c r="D331" s="8" t="s">
        <v>1227</v>
      </c>
      <c r="E331" s="8" t="s">
        <v>998</v>
      </c>
      <c r="F331" s="8" t="s">
        <v>1642</v>
      </c>
      <c r="G331" s="8" t="s">
        <v>2075</v>
      </c>
    </row>
    <row r="332" spans="1:7">
      <c r="A332" s="16"/>
      <c r="B332" s="16" t="str">
        <f t="shared" si="10"/>
        <v>Isolation thermique extérieure ventilée sur maçonnerie, 20cm laine de pierre (CC)</v>
      </c>
      <c r="C332" s="8" t="s">
        <v>702</v>
      </c>
      <c r="D332" s="8" t="s">
        <v>1228</v>
      </c>
      <c r="E332" s="8" t="s">
        <v>999</v>
      </c>
      <c r="F332" s="8" t="s">
        <v>1643</v>
      </c>
      <c r="G332" s="8" t="s">
        <v>2073</v>
      </c>
    </row>
    <row r="333" spans="1:7">
      <c r="A333" s="16"/>
      <c r="B333" s="16" t="str">
        <f t="shared" si="10"/>
        <v>Isolation intérieure revêtue sur maçonnerie, 22cm laine de pierre (CC)</v>
      </c>
      <c r="C333" s="8" t="s">
        <v>703</v>
      </c>
      <c r="D333" s="8" t="s">
        <v>1229</v>
      </c>
      <c r="E333" s="8" t="s">
        <v>1000</v>
      </c>
      <c r="F333" s="8" t="s">
        <v>1644</v>
      </c>
      <c r="G333" s="8" t="s">
        <v>2074</v>
      </c>
    </row>
    <row r="334" spans="1:7">
      <c r="A334" s="16"/>
      <c r="B334" s="16" t="str">
        <f t="shared" si="10"/>
        <v>Assainissement par l’extérieur sur maçonnerie contre non chauffé (CC)</v>
      </c>
      <c r="C334" s="8" t="s">
        <v>704</v>
      </c>
      <c r="D334" s="8" t="s">
        <v>1230</v>
      </c>
      <c r="E334" s="8" t="s">
        <v>1001</v>
      </c>
      <c r="F334" s="8" t="s">
        <v>1651</v>
      </c>
      <c r="G334" s="8" t="s">
        <v>2072</v>
      </c>
    </row>
    <row r="335" spans="1:7">
      <c r="A335" s="16"/>
      <c r="B335" s="16" t="str">
        <f t="shared" si="10"/>
        <v>Assainissement par l’extérieur sur dalle en béton contre non chauffé (CC)</v>
      </c>
      <c r="C335" s="8" t="s">
        <v>705</v>
      </c>
      <c r="D335" s="8" t="s">
        <v>1231</v>
      </c>
      <c r="E335" s="8" t="s">
        <v>1002</v>
      </c>
      <c r="F335" s="8" t="s">
        <v>1652</v>
      </c>
      <c r="G335" s="8" t="s">
        <v>2107</v>
      </c>
    </row>
    <row r="336" spans="1:7">
      <c r="A336" s="16"/>
      <c r="B336" s="16" t="str">
        <f t="shared" si="10"/>
        <v>Isolation thermique à l’intérieur revêtue sous dalle en béton contre non chauffé (CC)</v>
      </c>
      <c r="C336" s="8" t="s">
        <v>706</v>
      </c>
      <c r="D336" s="8" t="s">
        <v>1232</v>
      </c>
      <c r="E336" s="8" t="s">
        <v>1003</v>
      </c>
      <c r="F336" s="8" t="s">
        <v>1653</v>
      </c>
      <c r="G336" s="8" t="s">
        <v>2123</v>
      </c>
    </row>
    <row r="337" spans="1:7">
      <c r="A337" s="16"/>
      <c r="B337" s="16" t="str">
        <f t="shared" si="10"/>
        <v>Isolation thermique du noyau plancher à poutres contre non chauffé (CC)</v>
      </c>
      <c r="C337" s="8" t="s">
        <v>707</v>
      </c>
      <c r="D337" s="8" t="s">
        <v>1233</v>
      </c>
      <c r="E337" s="8" t="s">
        <v>1004</v>
      </c>
      <c r="F337" s="8" t="s">
        <v>1654</v>
      </c>
      <c r="G337" s="8" t="s">
        <v>2125</v>
      </c>
    </row>
    <row r="338" spans="1:7">
      <c r="A338" s="16"/>
      <c r="B338" s="16" t="str">
        <f t="shared" si="10"/>
        <v>Isolation thermique à l’intérieur sous plancher à poutres de bois avec remplissage de scories contre non chauffé (CC)</v>
      </c>
      <c r="C338" s="8" t="s">
        <v>708</v>
      </c>
      <c r="D338" s="8" t="s">
        <v>1234</v>
      </c>
      <c r="E338" s="8" t="s">
        <v>1005</v>
      </c>
      <c r="F338" s="8" t="s">
        <v>1655</v>
      </c>
      <c r="G338" s="8" t="s">
        <v>2124</v>
      </c>
    </row>
    <row r="339" spans="1:7">
      <c r="A339" s="16"/>
      <c r="B339" s="16" t="str">
        <f t="shared" si="10"/>
        <v>Isolation thermique à l’intérieur sur plancher à poutres de bois isolé contre non chauffé, 16cm laine de pierre (CC)</v>
      </c>
      <c r="C339" s="8" t="s">
        <v>709</v>
      </c>
      <c r="D339" s="8" t="s">
        <v>1235</v>
      </c>
      <c r="E339" s="8" t="s">
        <v>1006</v>
      </c>
      <c r="F339" s="8" t="s">
        <v>1645</v>
      </c>
      <c r="G339" s="8" t="s">
        <v>2122</v>
      </c>
    </row>
    <row r="340" spans="1:7">
      <c r="A340" s="16"/>
      <c r="B340" s="16" t="str">
        <f t="shared" si="10"/>
        <v>Toiture doublée sur dalle en béton (CC)</v>
      </c>
      <c r="C340" s="8" t="s">
        <v>710</v>
      </c>
      <c r="D340" s="8" t="s">
        <v>1236</v>
      </c>
      <c r="E340" s="8" t="s">
        <v>1007</v>
      </c>
      <c r="F340" s="8" t="s">
        <v>1646</v>
      </c>
      <c r="G340" s="8" t="s">
        <v>2130</v>
      </c>
    </row>
    <row r="341" spans="1:7">
      <c r="A341" s="16"/>
      <c r="B341" s="16" t="str">
        <f t="shared" si="10"/>
        <v>Toiture inversée / toiture améliorée sur dalle en béton, accessible, 22cm XPS (CC)</v>
      </c>
      <c r="C341" s="8" t="s">
        <v>711</v>
      </c>
      <c r="D341" s="8" t="s">
        <v>1237</v>
      </c>
      <c r="E341" s="8" t="s">
        <v>1008</v>
      </c>
      <c r="F341" s="8" t="s">
        <v>1647</v>
      </c>
      <c r="G341" s="8" t="s">
        <v>2133</v>
      </c>
    </row>
    <row r="342" spans="1:7">
      <c r="A342" s="16"/>
      <c r="B342" s="16" t="str">
        <f t="shared" si="10"/>
        <v>Toiture doublée sur dalle en béton, accessible (CC)</v>
      </c>
      <c r="C342" s="8" t="s">
        <v>712</v>
      </c>
      <c r="D342" s="8" t="s">
        <v>1238</v>
      </c>
      <c r="E342" s="8" t="s">
        <v>1009</v>
      </c>
      <c r="F342" s="8" t="s">
        <v>1648</v>
      </c>
      <c r="G342" s="8" t="s">
        <v>2131</v>
      </c>
    </row>
    <row r="343" spans="1:7">
      <c r="A343" s="16"/>
      <c r="B343" s="16" t="str">
        <f t="shared" si="10"/>
        <v>Toit à pans inclinés, assainissement par l’extérieur (CC)</v>
      </c>
      <c r="C343" s="8" t="s">
        <v>713</v>
      </c>
      <c r="D343" s="8" t="s">
        <v>1239</v>
      </c>
      <c r="E343" s="8" t="s">
        <v>1010</v>
      </c>
      <c r="F343" s="8" t="s">
        <v>1649</v>
      </c>
      <c r="G343" s="8" t="s">
        <v>2129</v>
      </c>
    </row>
    <row r="344" spans="1:7">
      <c r="A344" s="16"/>
      <c r="B344" s="16" t="str">
        <f t="shared" si="10"/>
        <v>Toit à pans inclinés, assainissement du noyau (CC)</v>
      </c>
      <c r="C344" s="8" t="s">
        <v>714</v>
      </c>
      <c r="D344" s="8" t="s">
        <v>1240</v>
      </c>
      <c r="E344" s="8" t="s">
        <v>1011</v>
      </c>
      <c r="F344" s="8" t="s">
        <v>1650</v>
      </c>
      <c r="G344" s="8" t="s">
        <v>2132</v>
      </c>
    </row>
    <row r="345" spans="1:7">
      <c r="A345" s="16"/>
      <c r="B345" s="16">
        <f t="shared" si="10"/>
        <v>0</v>
      </c>
      <c r="C345" s="5" t="s">
        <v>691</v>
      </c>
      <c r="D345" s="17"/>
    </row>
    <row r="346" spans="1:7">
      <c r="A346" s="16"/>
      <c r="B346" s="16">
        <f t="shared" si="10"/>
        <v>0</v>
      </c>
      <c r="C346" s="5" t="s">
        <v>692</v>
      </c>
      <c r="D346" s="17"/>
    </row>
    <row r="347" spans="1:7">
      <c r="A347" s="16"/>
      <c r="B347" s="16">
        <f t="shared" si="10"/>
        <v>0</v>
      </c>
      <c r="C347" s="5" t="s">
        <v>693</v>
      </c>
      <c r="D347" s="17"/>
    </row>
    <row r="348" spans="1:7">
      <c r="A348" s="16"/>
      <c r="B348" s="16">
        <f t="shared" si="10"/>
        <v>0</v>
      </c>
      <c r="C348" s="5" t="s">
        <v>694</v>
      </c>
      <c r="D348" s="17"/>
    </row>
    <row r="349" spans="1:7">
      <c r="A349" s="16"/>
      <c r="B349" s="16">
        <f t="shared" si="10"/>
        <v>0</v>
      </c>
      <c r="C349" s="5" t="s">
        <v>695</v>
      </c>
      <c r="D349" s="17"/>
    </row>
    <row r="350" spans="1:7">
      <c r="A350" s="16"/>
      <c r="B350" s="16">
        <f t="shared" si="10"/>
        <v>0</v>
      </c>
      <c r="C350" s="5" t="s">
        <v>696</v>
      </c>
      <c r="D350" s="17"/>
    </row>
    <row r="351" spans="1:7">
      <c r="A351" s="16"/>
      <c r="B351" s="16">
        <f t="shared" si="10"/>
        <v>0</v>
      </c>
      <c r="C351" s="5" t="s">
        <v>697</v>
      </c>
      <c r="D351" s="17"/>
    </row>
    <row r="352" spans="1:7">
      <c r="A352" s="16"/>
      <c r="B352" s="16">
        <f t="shared" si="10"/>
        <v>0</v>
      </c>
      <c r="C352" s="5" t="s">
        <v>698</v>
      </c>
      <c r="D352" s="17"/>
    </row>
    <row r="353" spans="1:6">
      <c r="A353" s="16"/>
      <c r="B353" s="16">
        <f t="shared" ref="B353:B359" si="11">INDEX($C353:$F353,1,MATCH(Sprachwahl,ListSprache,0))</f>
        <v>0</v>
      </c>
      <c r="C353" s="5" t="s">
        <v>699</v>
      </c>
      <c r="D353" s="17"/>
    </row>
    <row r="354" spans="1:6">
      <c r="A354" s="16"/>
      <c r="B354" s="16">
        <f t="shared" si="11"/>
        <v>0</v>
      </c>
      <c r="C354" s="5" t="s">
        <v>224</v>
      </c>
      <c r="D354" s="17"/>
    </row>
    <row r="355" spans="1:6">
      <c r="A355" s="16"/>
      <c r="B355" s="16">
        <f t="shared" si="11"/>
        <v>0</v>
      </c>
      <c r="C355" s="5" t="s">
        <v>225</v>
      </c>
      <c r="D355" s="17"/>
    </row>
    <row r="356" spans="1:6">
      <c r="A356" s="16"/>
      <c r="B356" s="16">
        <f t="shared" si="11"/>
        <v>0</v>
      </c>
      <c r="C356" s="5" t="s">
        <v>226</v>
      </c>
      <c r="D356" s="17"/>
    </row>
    <row r="357" spans="1:6">
      <c r="A357" s="16"/>
      <c r="B357" s="16">
        <f t="shared" si="11"/>
        <v>0</v>
      </c>
      <c r="C357" s="5" t="s">
        <v>227</v>
      </c>
      <c r="D357" s="17"/>
    </row>
    <row r="358" spans="1:6">
      <c r="A358" s="16"/>
      <c r="B358" s="16">
        <f t="shared" si="11"/>
        <v>0</v>
      </c>
      <c r="C358" s="5" t="s">
        <v>228</v>
      </c>
      <c r="D358" s="17"/>
    </row>
    <row r="359" spans="1:6">
      <c r="A359" s="16"/>
      <c r="B359" s="16">
        <f t="shared" si="11"/>
        <v>0</v>
      </c>
      <c r="C359" s="5" t="s">
        <v>229</v>
      </c>
      <c r="D359" s="17"/>
    </row>
    <row r="360" spans="1:6">
      <c r="A360" s="16"/>
      <c r="B360" s="16"/>
      <c r="D360" s="17"/>
    </row>
    <row r="361" spans="1:6">
      <c r="A361" s="10" t="s">
        <v>54</v>
      </c>
      <c r="B361" s="10"/>
      <c r="C361" s="10"/>
      <c r="D361" s="61"/>
      <c r="E361" s="10"/>
      <c r="F361" s="10"/>
    </row>
    <row r="362" spans="1:6">
      <c r="A362" s="10" t="s">
        <v>37</v>
      </c>
      <c r="B362" s="10" t="s">
        <v>38</v>
      </c>
      <c r="C362" s="10" t="str">
        <f>C$4</f>
        <v>Deutsch</v>
      </c>
      <c r="D362" s="61" t="str">
        <f>D$4</f>
        <v>Francais</v>
      </c>
      <c r="E362" s="10" t="str">
        <f>E$4</f>
        <v>Italiano</v>
      </c>
      <c r="F362" s="10" t="str">
        <f>F$4</f>
        <v>English</v>
      </c>
    </row>
    <row r="363" spans="1:6">
      <c r="A363" s="16" t="s">
        <v>55</v>
      </c>
      <c r="B363" s="16" t="str">
        <f>INDEX($C363:$F363,1,MATCH(Sprachwahl,ListSprache,0))</f>
        <v>sont bien remplies</v>
      </c>
      <c r="C363" s="5" t="s">
        <v>32</v>
      </c>
      <c r="D363" s="17" t="s">
        <v>71</v>
      </c>
      <c r="E363" s="8" t="s">
        <v>1012</v>
      </c>
      <c r="F363" s="8" t="s">
        <v>134</v>
      </c>
    </row>
    <row r="364" spans="1:6">
      <c r="A364" s="16"/>
      <c r="B364" s="16" t="str">
        <f>INDEX($C364:$F364,1,MATCH(Sprachwahl,ListSprache,0))</f>
        <v>sont remplies</v>
      </c>
      <c r="C364" s="5" t="s">
        <v>33</v>
      </c>
      <c r="D364" s="17" t="s">
        <v>69</v>
      </c>
      <c r="E364" s="8" t="s">
        <v>1013</v>
      </c>
      <c r="F364" s="8" t="s">
        <v>135</v>
      </c>
    </row>
    <row r="365" spans="1:6">
      <c r="A365" s="16"/>
      <c r="B365" s="16" t="str">
        <f>INDEX($C365:$F365,1,MATCH(Sprachwahl,ListSprache,0))</f>
        <v>ne sont pas remplies</v>
      </c>
      <c r="C365" s="5" t="s">
        <v>34</v>
      </c>
      <c r="D365" s="17" t="s">
        <v>70</v>
      </c>
      <c r="E365" s="8" t="s">
        <v>1014</v>
      </c>
      <c r="F365" s="8" t="s">
        <v>136</v>
      </c>
    </row>
    <row r="366" spans="1:6">
      <c r="A366" s="16"/>
      <c r="B366" s="16"/>
      <c r="D366" s="17"/>
    </row>
    <row r="367" spans="1:6">
      <c r="A367" s="16" t="s">
        <v>325</v>
      </c>
      <c r="B367" s="16" t="str">
        <f>INDEX($C367:$F367,1,MATCH(Sprachwahl,ListSprache,0))</f>
        <v>Aucune valeur limite définie</v>
      </c>
      <c r="C367" s="8" t="s">
        <v>326</v>
      </c>
      <c r="D367" s="17" t="s">
        <v>1241</v>
      </c>
      <c r="E367" s="8" t="s">
        <v>719</v>
      </c>
      <c r="F367" s="8" t="s">
        <v>718</v>
      </c>
    </row>
    <row r="368" spans="1:6">
      <c r="A368" s="16"/>
      <c r="B368" s="16" t="str">
        <f>INDEX($C368:$F368,1,MATCH(Sprachwahl,ListSprache,0))</f>
        <v>Minergie-Eco valeur limite</v>
      </c>
      <c r="C368" s="8" t="s">
        <v>1719</v>
      </c>
      <c r="D368" s="17" t="s">
        <v>1720</v>
      </c>
      <c r="E368" s="8" t="s">
        <v>1721</v>
      </c>
      <c r="F368" s="8" t="s">
        <v>1722</v>
      </c>
    </row>
    <row r="369" spans="1:6">
      <c r="A369" s="16"/>
      <c r="B369" s="16" t="str">
        <f>INDEX($C369:$F369,1,MATCH(Sprachwahl,ListSprache,0))</f>
        <v>Valeur cible</v>
      </c>
      <c r="C369" s="8" t="s">
        <v>327</v>
      </c>
      <c r="D369" s="17" t="s">
        <v>720</v>
      </c>
      <c r="E369" s="8" t="s">
        <v>1015</v>
      </c>
      <c r="F369" s="8" t="s">
        <v>717</v>
      </c>
    </row>
    <row r="370" spans="1:6">
      <c r="A370" s="16"/>
      <c r="B370" s="16" t="str">
        <f>INDEX($C370:$F370,1,MATCH(Sprachwahl,ListSprache,0))</f>
        <v>SNBS valeurs limites voir manuel SNBS</v>
      </c>
      <c r="C370" s="8" t="s">
        <v>1760</v>
      </c>
      <c r="D370" s="17" t="s">
        <v>1763</v>
      </c>
      <c r="E370" s="8" t="s">
        <v>1761</v>
      </c>
      <c r="F370" s="8" t="s">
        <v>1762</v>
      </c>
    </row>
    <row r="371" spans="1:6">
      <c r="A371" s="16"/>
      <c r="B371" s="16"/>
      <c r="D371" s="17"/>
    </row>
    <row r="372" spans="1:6">
      <c r="A372" s="16" t="s">
        <v>62</v>
      </c>
      <c r="B372" s="16" t="str">
        <f>INDEX($C372:$F372,1,MATCH(Sprachwahl,ListSprache,0))</f>
        <v>Nouvelle construction</v>
      </c>
      <c r="C372" s="8" t="s">
        <v>4</v>
      </c>
      <c r="D372" s="17" t="s">
        <v>1242</v>
      </c>
      <c r="E372" s="8" t="s">
        <v>1016</v>
      </c>
      <c r="F372" s="8" t="s">
        <v>10</v>
      </c>
    </row>
    <row r="373" spans="1:6">
      <c r="A373" s="16"/>
      <c r="B373" s="16" t="str">
        <f>INDEX($C373:$F373,1,MATCH(Sprachwahl,ListSprache,0))</f>
        <v>Modernisation</v>
      </c>
      <c r="C373" s="8" t="s">
        <v>7</v>
      </c>
      <c r="D373" s="17" t="s">
        <v>1243</v>
      </c>
      <c r="E373" s="8" t="s">
        <v>97</v>
      </c>
      <c r="F373" s="8" t="s">
        <v>11</v>
      </c>
    </row>
    <row r="374" spans="1:6">
      <c r="A374" s="16"/>
      <c r="B374" s="16"/>
      <c r="D374" s="17"/>
    </row>
    <row r="375" spans="1:6">
      <c r="A375" s="16" t="s">
        <v>63</v>
      </c>
      <c r="B375" s="16" t="str">
        <f>INDEX($C375:$F375,1,MATCH(Sprachwahl,ListSprache,0))</f>
        <v>Remplir en premier la feuille 'Questionnaire_modernisations'</v>
      </c>
      <c r="C375" s="8" t="str">
        <f>"Bitte zuerst Tabelle '"&amp;SheetQuestionaire&amp;"' vollständig ausfüllen."</f>
        <v>Bitte zuerst Tabelle 'Questionnaire_modernisations' vollständig ausfüllen.</v>
      </c>
      <c r="D375" s="17" t="str">
        <f>"Remplir en premier la feuille '"&amp;SheetQuestionaire&amp;"'"</f>
        <v>Remplir en premier la feuille 'Questionnaire_modernisations'</v>
      </c>
      <c r="E375" s="8" t="str">
        <f>"Riempire prima il foglio '"&amp;SheetQuestionaire&amp;"'"</f>
        <v>Riempire prima il foglio 'Questionnaire_modernisations'</v>
      </c>
      <c r="F375" s="8" t="str">
        <f>"Please fill out the sheet '"&amp;SheetQuestionaire&amp;"' first"</f>
        <v>Please fill out the sheet 'Questionnaire_modernisations' first</v>
      </c>
    </row>
    <row r="376" spans="1:6">
      <c r="A376" s="16"/>
      <c r="B376" s="16" t="str">
        <f>INDEX($C376:$F376,1,MATCH(Sprachwahl,ListSprache,0))</f>
        <v>Remplir directement la feuille 'Calcul'</v>
      </c>
      <c r="C376" s="8" t="str">
        <f>"Bitte direkt Tabellenblatt '"&amp;SheetBuildgData&amp;"' ausfüllen"</f>
        <v>Bitte direkt Tabellenblatt 'Calcul' ausfüllen</v>
      </c>
      <c r="D376" s="17" t="str">
        <f>"Remplir directement la feuille '"&amp;SheetBuildgData&amp;"'"</f>
        <v>Remplir directement la feuille 'Calcul'</v>
      </c>
      <c r="E376" s="8" t="str">
        <f>"Riempire direttamente la tabella '"&amp;SheetBuildgData&amp;"'"</f>
        <v>Riempire direttamente la tabella 'Calcul'</v>
      </c>
      <c r="F376" s="8" t="str">
        <f>"Please fill out the sheet '"&amp;SheetBuildgData&amp;"'"</f>
        <v>Please fill out the sheet 'Calcul'</v>
      </c>
    </row>
    <row r="377" spans="1:6">
      <c r="A377" s="16"/>
      <c r="B377" s="16"/>
      <c r="D377" s="17"/>
    </row>
    <row r="378" spans="1:6">
      <c r="A378" s="16" t="s">
        <v>64</v>
      </c>
      <c r="B378" s="16" t="str">
        <f>INDEX($C378:$F378,1,MATCH(Sprachwahl,ListSprache,0))</f>
        <v>Oui</v>
      </c>
      <c r="C378" s="8" t="s">
        <v>20</v>
      </c>
      <c r="D378" s="17" t="s">
        <v>75</v>
      </c>
      <c r="E378" s="8" t="s">
        <v>2415</v>
      </c>
      <c r="F378" s="8" t="s">
        <v>101</v>
      </c>
    </row>
    <row r="379" spans="1:6">
      <c r="A379" s="16"/>
      <c r="B379" s="16" t="str">
        <f>INDEX($C379:$F379,1,MATCH(Sprachwahl,ListSprache,0))</f>
        <v>Non</v>
      </c>
      <c r="C379" s="8" t="s">
        <v>19</v>
      </c>
      <c r="D379" s="17" t="s">
        <v>74</v>
      </c>
      <c r="E379" s="8" t="s">
        <v>98</v>
      </c>
      <c r="F379" s="8" t="s">
        <v>98</v>
      </c>
    </row>
    <row r="380" spans="1:6">
      <c r="A380" s="16"/>
      <c r="B380" s="16"/>
      <c r="D380" s="17"/>
    </row>
    <row r="381" spans="1:6">
      <c r="A381" s="16" t="s">
        <v>1821</v>
      </c>
      <c r="B381" s="16" t="str">
        <f>INDEX($C381:$F381,1,MATCH(Sprachwahl,ListSprache,0))</f>
        <v>Résumé</v>
      </c>
      <c r="C381" s="8" t="s">
        <v>99</v>
      </c>
      <c r="D381" s="17" t="s">
        <v>100</v>
      </c>
      <c r="E381" s="8" t="s">
        <v>80</v>
      </c>
      <c r="F381" s="8" t="s">
        <v>87</v>
      </c>
    </row>
    <row r="382" spans="1:6">
      <c r="A382" s="16"/>
      <c r="B382" s="16" t="str">
        <f>INDEX($C382:$F382,1,MATCH(Sprachwahl,ListSprache,0))</f>
        <v>Calcul</v>
      </c>
      <c r="C382" s="8" t="s">
        <v>175</v>
      </c>
      <c r="D382" s="17" t="s">
        <v>1244</v>
      </c>
      <c r="E382" s="8" t="s">
        <v>716</v>
      </c>
      <c r="F382" s="8" t="s">
        <v>715</v>
      </c>
    </row>
    <row r="383" spans="1:6">
      <c r="A383" s="16"/>
      <c r="B383" s="16" t="str">
        <f>INDEX($C383:$F383,1,MATCH(Sprachwahl,ListSprache,0))</f>
        <v>Questionnaire_modernisations</v>
      </c>
      <c r="C383" s="8" t="s">
        <v>137</v>
      </c>
      <c r="D383" s="17" t="s">
        <v>1245</v>
      </c>
      <c r="E383" s="8" t="s">
        <v>138</v>
      </c>
      <c r="F383" s="8" t="s">
        <v>139</v>
      </c>
    </row>
    <row r="384" spans="1:6">
      <c r="D384" s="17"/>
    </row>
    <row r="385" spans="1:11">
      <c r="A385" s="10" t="s">
        <v>103</v>
      </c>
      <c r="B385" s="10"/>
      <c r="C385" s="10"/>
      <c r="D385" s="61"/>
      <c r="E385" s="10"/>
      <c r="F385" s="10"/>
      <c r="G385" s="10"/>
      <c r="H385" s="109" t="s">
        <v>1640</v>
      </c>
      <c r="I385" s="109"/>
      <c r="J385" s="109"/>
      <c r="K385" s="109"/>
    </row>
    <row r="386" spans="1:11">
      <c r="A386" s="10" t="s">
        <v>113</v>
      </c>
      <c r="B386" s="10" t="s">
        <v>114</v>
      </c>
      <c r="C386" s="10" t="s">
        <v>38</v>
      </c>
      <c r="D386" s="61" t="str">
        <f>$C$4</f>
        <v>Deutsch</v>
      </c>
      <c r="E386" s="10" t="str">
        <f>D$4</f>
        <v>Francais</v>
      </c>
      <c r="F386" s="10" t="str">
        <f>E$4</f>
        <v>Italiano</v>
      </c>
      <c r="G386" s="10" t="str">
        <f>F$4</f>
        <v>English</v>
      </c>
      <c r="H386" s="61" t="str">
        <f>$C$4</f>
        <v>Deutsch</v>
      </c>
      <c r="I386" s="10" t="str">
        <f>$D$4</f>
        <v>Francais</v>
      </c>
      <c r="J386" s="10" t="str">
        <f>$E$4</f>
        <v>Italiano</v>
      </c>
      <c r="K386" s="10" t="str">
        <f>$F$4</f>
        <v>English</v>
      </c>
    </row>
    <row r="387" spans="1:11">
      <c r="A387" s="64">
        <v>1</v>
      </c>
      <c r="B387" s="34" t="s">
        <v>1589</v>
      </c>
      <c r="C387" s="34" t="str">
        <f t="shared" ref="C387:C406" si="12">INDEX($D387:$G387,1,MATCH(Sprachwahl,ListSprache,0))</f>
        <v>Nom du projet</v>
      </c>
      <c r="D387" s="8" t="s">
        <v>16</v>
      </c>
      <c r="E387" s="8" t="s">
        <v>1610</v>
      </c>
      <c r="F387" s="8" t="s">
        <v>1621</v>
      </c>
      <c r="G387" s="8" t="s">
        <v>1600</v>
      </c>
      <c r="H387" s="65" t="str">
        <f>IF(LEN(D387)&lt;33,"OK","Fehler")</f>
        <v>OK</v>
      </c>
      <c r="I387" s="65" t="str">
        <f>IF(LEN(E387)&lt;33,"OK","Fehler")</f>
        <v>OK</v>
      </c>
      <c r="J387" s="65" t="str">
        <f>IF(LEN(F387)&lt;33,"OK","Fehler")</f>
        <v>OK</v>
      </c>
      <c r="K387" s="65" t="str">
        <f>IF(LEN(G387)&lt;33,"OK","Fehler")</f>
        <v>OK</v>
      </c>
    </row>
    <row r="388" spans="1:11">
      <c r="A388" s="64"/>
      <c r="B388" s="34"/>
      <c r="C388" s="34" t="str">
        <f t="shared" si="12"/>
        <v>Entrez un nom de projet unique.</v>
      </c>
      <c r="D388" s="8" t="s">
        <v>1591</v>
      </c>
      <c r="E388" s="8" t="s">
        <v>1611</v>
      </c>
      <c r="F388" s="8" t="s">
        <v>1622</v>
      </c>
      <c r="G388" s="8" t="s">
        <v>1601</v>
      </c>
      <c r="H388" s="65" t="str">
        <f>IF(LEN(D388)&lt;256,"OK","Fehler")</f>
        <v>OK</v>
      </c>
      <c r="I388" s="65" t="str">
        <f>IF(LEN(E388)&lt;256,"OK","Fehler")</f>
        <v>OK</v>
      </c>
      <c r="J388" s="65" t="str">
        <f>IF(LEN(F388)&lt;256,"OK","Fehler")</f>
        <v>OK</v>
      </c>
      <c r="K388" s="65" t="str">
        <f>IF(LEN(G388)&lt;256,"OK","Fehler")</f>
        <v>OK</v>
      </c>
    </row>
    <row r="389" spans="1:11">
      <c r="A389" s="64"/>
      <c r="B389" s="34"/>
      <c r="C389" s="34" t="str">
        <f t="shared" si="12"/>
        <v>Erreur</v>
      </c>
      <c r="D389" s="8" t="s">
        <v>115</v>
      </c>
      <c r="E389" s="8" t="s">
        <v>130</v>
      </c>
      <c r="F389" s="8" t="s">
        <v>119</v>
      </c>
      <c r="G389" s="8" t="s">
        <v>126</v>
      </c>
      <c r="H389" s="65" t="str">
        <f>IF(LEN(D389)&lt;33,"OK","Fehler")</f>
        <v>OK</v>
      </c>
      <c r="I389" s="65" t="str">
        <f>IF(LEN(E389)&lt;33,"OK","Fehler")</f>
        <v>OK</v>
      </c>
      <c r="J389" s="65" t="str">
        <f>IF(LEN(F389)&lt;33,"OK","Fehler")</f>
        <v>OK</v>
      </c>
      <c r="K389" s="65" t="str">
        <f>IF(LEN(G389)&lt;33,"OK","Fehler")</f>
        <v>OK</v>
      </c>
    </row>
    <row r="390" spans="1:11">
      <c r="A390" s="64"/>
      <c r="B390" s="34"/>
      <c r="C390" s="34" t="str">
        <f t="shared" si="12"/>
        <v>Vous pouvez entrer un maximum de 256 caractères par ligne.</v>
      </c>
      <c r="D390" s="8" t="s">
        <v>1596</v>
      </c>
      <c r="E390" s="8" t="s">
        <v>1612</v>
      </c>
      <c r="F390" s="8" t="s">
        <v>1623</v>
      </c>
      <c r="G390" s="8" t="s">
        <v>1602</v>
      </c>
      <c r="H390" s="65" t="str">
        <f>IF(LEN(D390)&lt;256,"OK","Fehler")</f>
        <v>OK</v>
      </c>
      <c r="I390" s="65" t="str">
        <f>IF(LEN(E390)&lt;256,"OK","Fehler")</f>
        <v>OK</v>
      </c>
      <c r="J390" s="65" t="str">
        <f>IF(LEN(F390)&lt;256,"OK","Fehler")</f>
        <v>OK</v>
      </c>
      <c r="K390" s="65" t="str">
        <f>IF(LEN(G390)&lt;256,"OK","Fehler")</f>
        <v>OK</v>
      </c>
    </row>
    <row r="391" spans="1:11">
      <c r="A391" s="64">
        <v>1</v>
      </c>
      <c r="B391" s="34" t="s">
        <v>1597</v>
      </c>
      <c r="C391" s="34" t="str">
        <f t="shared" si="12"/>
        <v>Type de projet</v>
      </c>
      <c r="D391" s="8" t="s">
        <v>6</v>
      </c>
      <c r="E391" s="8" t="s">
        <v>66</v>
      </c>
      <c r="F391" s="8" t="s">
        <v>1624</v>
      </c>
      <c r="G391" s="8" t="s">
        <v>84</v>
      </c>
      <c r="H391" s="65" t="str">
        <f>IF(LEN(D391)&lt;33,"OK","Fehler")</f>
        <v>OK</v>
      </c>
      <c r="I391" s="65" t="str">
        <f>IF(LEN(E391)&lt;33,"OK","Fehler")</f>
        <v>OK</v>
      </c>
      <c r="J391" s="65" t="str">
        <f>IF(LEN(F391)&lt;33,"OK","Fehler")</f>
        <v>OK</v>
      </c>
      <c r="K391" s="65" t="str">
        <f>IF(LEN(G391)&lt;33,"OK","Fehler")</f>
        <v>OK</v>
      </c>
    </row>
    <row r="392" spans="1:11">
      <c r="A392" s="64"/>
      <c r="B392" s="34"/>
      <c r="C392" s="34" t="str">
        <f t="shared" si="12"/>
        <v>Sélectionnez un type de projet dans la liste.</v>
      </c>
      <c r="D392" s="8" t="s">
        <v>1592</v>
      </c>
      <c r="E392" s="8" t="s">
        <v>1613</v>
      </c>
      <c r="F392" s="8" t="s">
        <v>1625</v>
      </c>
      <c r="G392" s="8" t="s">
        <v>1603</v>
      </c>
      <c r="H392" s="65" t="str">
        <f>IF(LEN(D392)&lt;256,"OK","Fehler")</f>
        <v>OK</v>
      </c>
      <c r="I392" s="65" t="str">
        <f>IF(LEN(E392)&lt;256,"OK","Fehler")</f>
        <v>OK</v>
      </c>
      <c r="J392" s="65" t="str">
        <f>IF(LEN(F392)&lt;256,"OK","Fehler")</f>
        <v>OK</v>
      </c>
      <c r="K392" s="65" t="str">
        <f>IF(LEN(G392)&lt;256,"OK","Fehler")</f>
        <v>OK</v>
      </c>
    </row>
    <row r="393" spans="1:11">
      <c r="A393" s="64"/>
      <c r="B393" s="34"/>
      <c r="C393" s="34" t="str">
        <f t="shared" si="12"/>
        <v>Erreur</v>
      </c>
      <c r="D393" s="8" t="s">
        <v>115</v>
      </c>
      <c r="E393" s="8" t="s">
        <v>130</v>
      </c>
      <c r="F393" s="8" t="s">
        <v>119</v>
      </c>
      <c r="G393" s="8" t="s">
        <v>126</v>
      </c>
      <c r="H393" s="65" t="str">
        <f>IF(LEN(D393)&lt;33,"OK","Fehler")</f>
        <v>OK</v>
      </c>
      <c r="I393" s="65" t="str">
        <f>IF(LEN(E393)&lt;33,"OK","Fehler")</f>
        <v>OK</v>
      </c>
      <c r="J393" s="65" t="str">
        <f>IF(LEN(F393)&lt;33,"OK","Fehler")</f>
        <v>OK</v>
      </c>
      <c r="K393" s="65" t="str">
        <f>IF(LEN(G393)&lt;33,"OK","Fehler")</f>
        <v>OK</v>
      </c>
    </row>
    <row r="394" spans="1:11">
      <c r="A394" s="64"/>
      <c r="B394" s="34"/>
      <c r="C394" s="34" t="str">
        <f t="shared" si="12"/>
        <v>Vous devez sélectionner une entrée dans la liste.</v>
      </c>
      <c r="D394" s="8" t="s">
        <v>12</v>
      </c>
      <c r="E394" s="8" t="s">
        <v>1614</v>
      </c>
      <c r="F394" s="8" t="s">
        <v>1018</v>
      </c>
      <c r="G394" s="8" t="s">
        <v>1349</v>
      </c>
      <c r="H394" s="65" t="str">
        <f>IF(LEN(D394)&lt;256,"OK","Fehler")</f>
        <v>OK</v>
      </c>
      <c r="I394" s="65" t="str">
        <f>IF(LEN(E394)&lt;256,"OK","Fehler")</f>
        <v>OK</v>
      </c>
      <c r="J394" s="65" t="str">
        <f>IF(LEN(F394)&lt;256,"OK","Fehler")</f>
        <v>OK</v>
      </c>
      <c r="K394" s="65" t="str">
        <f>IF(LEN(G394)&lt;256,"OK","Fehler")</f>
        <v>OK</v>
      </c>
    </row>
    <row r="395" spans="1:11">
      <c r="A395" s="64">
        <v>1</v>
      </c>
      <c r="B395" s="34" t="s">
        <v>1598</v>
      </c>
      <c r="C395" s="34" t="str">
        <f t="shared" si="12"/>
        <v>Certificat souhaité</v>
      </c>
      <c r="D395" s="8" t="s">
        <v>287</v>
      </c>
      <c r="E395" s="8" t="s">
        <v>1615</v>
      </c>
      <c r="F395" s="8" t="s">
        <v>846</v>
      </c>
      <c r="G395" s="8" t="s">
        <v>1604</v>
      </c>
      <c r="H395" s="65" t="str">
        <f>IF(LEN(D395)&lt;33,"OK","Fehler")</f>
        <v>OK</v>
      </c>
      <c r="I395" s="65" t="str">
        <f>IF(LEN(E395)&lt;33,"OK","Fehler")</f>
        <v>OK</v>
      </c>
      <c r="J395" s="65" t="str">
        <f>IF(LEN(F395)&lt;33,"OK","Fehler")</f>
        <v>OK</v>
      </c>
      <c r="K395" s="65" t="str">
        <f>IF(LEN(G395)&lt;33,"OK","Fehler")</f>
        <v>OK</v>
      </c>
    </row>
    <row r="396" spans="1:11">
      <c r="A396" s="64"/>
      <c r="B396" s="34"/>
      <c r="C396" s="34" t="str">
        <f t="shared" si="12"/>
        <v>Sélectionnez un certificat/une norme dans la liste.</v>
      </c>
      <c r="D396" s="8" t="s">
        <v>1593</v>
      </c>
      <c r="E396" s="8" t="s">
        <v>1616</v>
      </c>
      <c r="F396" s="8" t="s">
        <v>1626</v>
      </c>
      <c r="G396" s="8" t="s">
        <v>1605</v>
      </c>
      <c r="H396" s="65" t="str">
        <f>IF(LEN(D396)&lt;256,"OK","Fehler")</f>
        <v>OK</v>
      </c>
      <c r="I396" s="65" t="str">
        <f>IF(LEN(E396)&lt;256,"OK","Fehler")</f>
        <v>OK</v>
      </c>
      <c r="J396" s="65" t="str">
        <f>IF(LEN(F396)&lt;256,"OK","Fehler")</f>
        <v>OK</v>
      </c>
      <c r="K396" s="65" t="str">
        <f>IF(LEN(G396)&lt;256,"OK","Fehler")</f>
        <v>OK</v>
      </c>
    </row>
    <row r="397" spans="1:11">
      <c r="A397" s="64"/>
      <c r="B397" s="34"/>
      <c r="C397" s="34" t="str">
        <f t="shared" si="12"/>
        <v>Erreur</v>
      </c>
      <c r="D397" s="8" t="s">
        <v>115</v>
      </c>
      <c r="E397" s="8" t="s">
        <v>130</v>
      </c>
      <c r="F397" s="8" t="s">
        <v>119</v>
      </c>
      <c r="G397" s="8" t="s">
        <v>126</v>
      </c>
      <c r="H397" s="65" t="str">
        <f>IF(LEN(D397)&lt;33,"OK","Fehler")</f>
        <v>OK</v>
      </c>
      <c r="I397" s="65" t="str">
        <f>IF(LEN(E397)&lt;33,"OK","Fehler")</f>
        <v>OK</v>
      </c>
      <c r="J397" s="65" t="str">
        <f>IF(LEN(F397)&lt;33,"OK","Fehler")</f>
        <v>OK</v>
      </c>
      <c r="K397" s="65" t="str">
        <f>IF(LEN(G397)&lt;33,"OK","Fehler")</f>
        <v>OK</v>
      </c>
    </row>
    <row r="398" spans="1:11">
      <c r="A398" s="64"/>
      <c r="B398" s="34"/>
      <c r="C398" s="34" t="str">
        <f t="shared" si="12"/>
        <v>Vous devez sélectionner une entrée dans la liste.</v>
      </c>
      <c r="D398" s="8" t="s">
        <v>12</v>
      </c>
      <c r="E398" s="8" t="s">
        <v>1614</v>
      </c>
      <c r="F398" s="8" t="s">
        <v>1018</v>
      </c>
      <c r="G398" s="8" t="s">
        <v>1349</v>
      </c>
      <c r="H398" s="65" t="str">
        <f>IF(LEN(D398)&lt;256,"OK","Fehler")</f>
        <v>OK</v>
      </c>
      <c r="I398" s="65" t="str">
        <f>IF(LEN(E398)&lt;256,"OK","Fehler")</f>
        <v>OK</v>
      </c>
      <c r="J398" s="65" t="str">
        <f>IF(LEN(F398)&lt;256,"OK","Fehler")</f>
        <v>OK</v>
      </c>
      <c r="K398" s="65" t="str">
        <f>IF(LEN(G398)&lt;256,"OK","Fehler")</f>
        <v>OK</v>
      </c>
    </row>
    <row r="399" spans="1:11">
      <c r="A399" s="64">
        <v>1</v>
      </c>
      <c r="B399" s="34" t="s">
        <v>1599</v>
      </c>
      <c r="C399" s="34" t="str">
        <f t="shared" si="12"/>
        <v>Catégorie de bâtiment</v>
      </c>
      <c r="D399" s="8" t="s">
        <v>140</v>
      </c>
      <c r="E399" s="8" t="s">
        <v>1617</v>
      </c>
      <c r="F399" s="8" t="s">
        <v>1627</v>
      </c>
      <c r="G399" s="8" t="s">
        <v>1606</v>
      </c>
      <c r="H399" s="65" t="str">
        <f>IF(LEN(D399)&lt;33,"OK","Fehler")</f>
        <v>OK</v>
      </c>
      <c r="I399" s="65" t="str">
        <f>IF(LEN(E399)&lt;33,"OK","Fehler")</f>
        <v>OK</v>
      </c>
      <c r="J399" s="65" t="str">
        <f>IF(LEN(F399)&lt;33,"OK","Fehler")</f>
        <v>OK</v>
      </c>
      <c r="K399" s="65" t="str">
        <f>IF(LEN(G399)&lt;33,"OK","Fehler")</f>
        <v>OK</v>
      </c>
    </row>
    <row r="400" spans="1:11">
      <c r="A400" s="64"/>
      <c r="B400" s="34"/>
      <c r="C400" s="34" t="str">
        <f t="shared" si="12"/>
        <v>Sélectionnez une catégorie de bâtiment dans la liste.</v>
      </c>
      <c r="D400" s="8" t="s">
        <v>1594</v>
      </c>
      <c r="E400" s="8" t="s">
        <v>1618</v>
      </c>
      <c r="F400" s="8" t="s">
        <v>1628</v>
      </c>
      <c r="G400" s="8" t="s">
        <v>1607</v>
      </c>
      <c r="H400" s="65" t="str">
        <f>IF(LEN(D400)&lt;256,"OK","Fehler")</f>
        <v>OK</v>
      </c>
      <c r="I400" s="65" t="str">
        <f>IF(LEN(E400)&lt;256,"OK","Fehler")</f>
        <v>OK</v>
      </c>
      <c r="J400" s="65" t="str">
        <f>IF(LEN(F400)&lt;256,"OK","Fehler")</f>
        <v>OK</v>
      </c>
      <c r="K400" s="65" t="str">
        <f>IF(LEN(G400)&lt;256,"OK","Fehler")</f>
        <v>OK</v>
      </c>
    </row>
    <row r="401" spans="1:11">
      <c r="A401" s="64"/>
      <c r="B401" s="34"/>
      <c r="C401" s="34" t="str">
        <f t="shared" si="12"/>
        <v>Erreur</v>
      </c>
      <c r="D401" s="8" t="s">
        <v>115</v>
      </c>
      <c r="E401" s="8" t="s">
        <v>130</v>
      </c>
      <c r="F401" s="8" t="s">
        <v>119</v>
      </c>
      <c r="G401" s="8" t="s">
        <v>126</v>
      </c>
      <c r="H401" s="65" t="str">
        <f>IF(LEN(D401)&lt;33,"OK","Fehler")</f>
        <v>OK</v>
      </c>
      <c r="I401" s="65" t="str">
        <f>IF(LEN(E401)&lt;33,"OK","Fehler")</f>
        <v>OK</v>
      </c>
      <c r="J401" s="65" t="str">
        <f>IF(LEN(F401)&lt;33,"OK","Fehler")</f>
        <v>OK</v>
      </c>
      <c r="K401" s="65" t="str">
        <f>IF(LEN(G401)&lt;33,"OK","Fehler")</f>
        <v>OK</v>
      </c>
    </row>
    <row r="402" spans="1:11">
      <c r="A402" s="64"/>
      <c r="B402" s="34"/>
      <c r="C402" s="34" t="str">
        <f t="shared" si="12"/>
        <v>Vous devez sélectionner une entrée dans la liste.</v>
      </c>
      <c r="D402" s="8" t="s">
        <v>12</v>
      </c>
      <c r="E402" s="8" t="s">
        <v>1614</v>
      </c>
      <c r="F402" s="8" t="s">
        <v>1018</v>
      </c>
      <c r="G402" s="8" t="s">
        <v>1349</v>
      </c>
      <c r="H402" s="65" t="str">
        <f>IF(LEN(D402)&lt;256,"OK","Fehler")</f>
        <v>OK</v>
      </c>
      <c r="I402" s="65" t="str">
        <f>IF(LEN(E402)&lt;256,"OK","Fehler")</f>
        <v>OK</v>
      </c>
      <c r="J402" s="65" t="str">
        <f>IF(LEN(F402)&lt;256,"OK","Fehler")</f>
        <v>OK</v>
      </c>
      <c r="K402" s="65" t="str">
        <f>IF(LEN(G402)&lt;256,"OK","Fehler")</f>
        <v>OK</v>
      </c>
    </row>
    <row r="403" spans="1:11">
      <c r="A403" s="64">
        <v>1</v>
      </c>
      <c r="B403" s="34" t="s">
        <v>1638</v>
      </c>
      <c r="C403" s="34" t="str">
        <f t="shared" si="12"/>
        <v>Parties concernées</v>
      </c>
      <c r="D403" s="8" t="s">
        <v>1590</v>
      </c>
      <c r="E403" s="8" t="s">
        <v>1619</v>
      </c>
      <c r="F403" s="8" t="s">
        <v>1629</v>
      </c>
      <c r="G403" s="8" t="s">
        <v>1608</v>
      </c>
      <c r="H403" s="65" t="str">
        <f>IF(LEN(D403)&lt;33,"OK","Fehler")</f>
        <v>OK</v>
      </c>
      <c r="I403" s="65" t="str">
        <f>IF(LEN(E403)&lt;33,"OK","Fehler")</f>
        <v>OK</v>
      </c>
      <c r="J403" s="65" t="str">
        <f>IF(LEN(F403)&lt;33,"OK","Fehler")</f>
        <v>OK</v>
      </c>
      <c r="K403" s="65" t="str">
        <f>IF(LEN(G403)&lt;33,"OK","Fehler")</f>
        <v>OK</v>
      </c>
    </row>
    <row r="404" spans="1:11">
      <c r="A404" s="64"/>
      <c r="B404" s="34"/>
      <c r="C404" s="34" t="str">
        <f t="shared" si="12"/>
        <v>Entrez les noms et les coordonnées des participants.</v>
      </c>
      <c r="D404" s="8" t="s">
        <v>1595</v>
      </c>
      <c r="E404" s="8" t="s">
        <v>1620</v>
      </c>
      <c r="F404" s="8" t="s">
        <v>1630</v>
      </c>
      <c r="G404" s="8" t="s">
        <v>1609</v>
      </c>
      <c r="H404" s="65" t="str">
        <f>IF(LEN(D404)&lt;256,"OK","Fehler")</f>
        <v>OK</v>
      </c>
      <c r="I404" s="65" t="str">
        <f>IF(LEN(E404)&lt;256,"OK","Fehler")</f>
        <v>OK</v>
      </c>
      <c r="J404" s="65" t="str">
        <f>IF(LEN(F404)&lt;256,"OK","Fehler")</f>
        <v>OK</v>
      </c>
      <c r="K404" s="65" t="str">
        <f>IF(LEN(G404)&lt;256,"OK","Fehler")</f>
        <v>OK</v>
      </c>
    </row>
    <row r="405" spans="1:11">
      <c r="A405" s="64"/>
      <c r="B405" s="34"/>
      <c r="C405" s="34" t="str">
        <f t="shared" si="12"/>
        <v>Erreur</v>
      </c>
      <c r="D405" s="8" t="s">
        <v>115</v>
      </c>
      <c r="E405" s="8" t="s">
        <v>130</v>
      </c>
      <c r="F405" s="8" t="s">
        <v>119</v>
      </c>
      <c r="G405" s="8" t="s">
        <v>126</v>
      </c>
      <c r="H405" s="65" t="str">
        <f>IF(LEN(D405)&lt;33,"OK","Fehler")</f>
        <v>OK</v>
      </c>
      <c r="I405" s="65" t="str">
        <f>IF(LEN(E405)&lt;33,"OK","Fehler")</f>
        <v>OK</v>
      </c>
      <c r="J405" s="65" t="str">
        <f>IF(LEN(F405)&lt;33,"OK","Fehler")</f>
        <v>OK</v>
      </c>
      <c r="K405" s="65" t="str">
        <f>IF(LEN(G405)&lt;33,"OK","Fehler")</f>
        <v>OK</v>
      </c>
    </row>
    <row r="406" spans="1:11">
      <c r="A406" s="64"/>
      <c r="B406" s="34"/>
      <c r="C406" s="34" t="str">
        <f t="shared" si="12"/>
        <v>Vous pouvez entrer un maximum de 256 caractères par ligne.</v>
      </c>
      <c r="D406" s="8" t="s">
        <v>1596</v>
      </c>
      <c r="E406" s="8" t="s">
        <v>1612</v>
      </c>
      <c r="F406" s="8" t="s">
        <v>1623</v>
      </c>
      <c r="G406" s="8" t="s">
        <v>1602</v>
      </c>
      <c r="H406" s="65" t="str">
        <f>IF(LEN(D406)&lt;256,"OK","Fehler")</f>
        <v>OK</v>
      </c>
      <c r="I406" s="65" t="str">
        <f>IF(LEN(E406)&lt;256,"OK","Fehler")</f>
        <v>OK</v>
      </c>
      <c r="J406" s="65" t="str">
        <f>IF(LEN(F406)&lt;256,"OK","Fehler")</f>
        <v>OK</v>
      </c>
      <c r="K406" s="65" t="str">
        <f>IF(LEN(G406)&lt;256,"OK","Fehler")</f>
        <v>OK</v>
      </c>
    </row>
    <row r="407" spans="1:11">
      <c r="A407" s="63">
        <v>2</v>
      </c>
      <c r="B407" s="34" t="s">
        <v>392</v>
      </c>
      <c r="C407" s="34" t="str">
        <f t="shared" ref="C407:C438" si="13">INDEX($D407:$G407,1,MATCH(Sprachwahl,ListSprache,0))</f>
        <v>Standard énergétique</v>
      </c>
      <c r="D407" s="8" t="s">
        <v>217</v>
      </c>
      <c r="E407" s="8" t="s">
        <v>1100</v>
      </c>
      <c r="F407" s="8" t="s">
        <v>878</v>
      </c>
      <c r="G407" s="8" t="s">
        <v>1347</v>
      </c>
      <c r="H407" s="65" t="str">
        <f>IF(LEN(D407)&lt;33,"OK","Fehler")</f>
        <v>OK</v>
      </c>
      <c r="I407" s="65" t="str">
        <f>IF(LEN(E407)&lt;33,"OK","Fehler")</f>
        <v>OK</v>
      </c>
      <c r="J407" s="65" t="str">
        <f>IF(LEN(F407)&lt;33,"OK","Fehler")</f>
        <v>OK</v>
      </c>
      <c r="K407" s="65" t="str">
        <f>IF(LEN(G407)&lt;33,"OK","Fehler")</f>
        <v>OK</v>
      </c>
    </row>
    <row r="408" spans="1:11">
      <c r="A408" s="63"/>
      <c r="B408" s="34"/>
      <c r="C408" s="34" t="str">
        <f t="shared" si="13"/>
        <v>Sélectionner le standard énergétique souhaité.</v>
      </c>
      <c r="D408" s="8" t="s">
        <v>405</v>
      </c>
      <c r="E408" s="8" t="s">
        <v>1246</v>
      </c>
      <c r="F408" s="8" t="s">
        <v>1017</v>
      </c>
      <c r="G408" s="8" t="s">
        <v>1348</v>
      </c>
      <c r="H408" s="65" t="str">
        <f>IF(LEN(D408)&lt;256,"OK","Fehler")</f>
        <v>OK</v>
      </c>
      <c r="I408" s="65" t="str">
        <f>IF(LEN(E408)&lt;256,"OK","Fehler")</f>
        <v>OK</v>
      </c>
      <c r="J408" s="65" t="str">
        <f>IF(LEN(F408)&lt;256,"OK","Fehler")</f>
        <v>OK</v>
      </c>
      <c r="K408" s="65" t="str">
        <f>IF(LEN(G408)&lt;256,"OK","Fehler")</f>
        <v>OK</v>
      </c>
    </row>
    <row r="409" spans="1:11">
      <c r="A409" s="63"/>
      <c r="B409" s="34"/>
      <c r="C409" s="34" t="str">
        <f t="shared" si="13"/>
        <v>Erreur</v>
      </c>
      <c r="D409" s="8" t="s">
        <v>115</v>
      </c>
      <c r="E409" s="8" t="s">
        <v>130</v>
      </c>
      <c r="F409" s="8" t="s">
        <v>119</v>
      </c>
      <c r="G409" s="8" t="s">
        <v>126</v>
      </c>
      <c r="H409" s="65" t="str">
        <f>IF(LEN(D409)&lt;33,"OK","Fehler")</f>
        <v>OK</v>
      </c>
      <c r="I409" s="65" t="str">
        <f>IF(LEN(E409)&lt;33,"OK","Fehler")</f>
        <v>OK</v>
      </c>
      <c r="J409" s="65" t="str">
        <f>IF(LEN(F409)&lt;33,"OK","Fehler")</f>
        <v>OK</v>
      </c>
      <c r="K409" s="65" t="str">
        <f>IF(LEN(G409)&lt;33,"OK","Fehler")</f>
        <v>OK</v>
      </c>
    </row>
    <row r="410" spans="1:11">
      <c r="A410" s="63"/>
      <c r="B410" s="34"/>
      <c r="C410" s="34" t="str">
        <f t="shared" si="13"/>
        <v>Sélectionner une entrée du menu déroulant.</v>
      </c>
      <c r="D410" s="8" t="s">
        <v>12</v>
      </c>
      <c r="E410" s="8" t="s">
        <v>1247</v>
      </c>
      <c r="F410" s="8" t="s">
        <v>1018</v>
      </c>
      <c r="G410" s="8" t="s">
        <v>1349</v>
      </c>
      <c r="H410" s="65" t="str">
        <f>IF(LEN(D410)&lt;256,"OK","Fehler")</f>
        <v>OK</v>
      </c>
      <c r="I410" s="65" t="str">
        <f>IF(LEN(E410)&lt;256,"OK","Fehler")</f>
        <v>OK</v>
      </c>
      <c r="J410" s="65" t="str">
        <f>IF(LEN(F410)&lt;256,"OK","Fehler")</f>
        <v>OK</v>
      </c>
      <c r="K410" s="65" t="str">
        <f>IF(LEN(G410)&lt;256,"OK","Fehler")</f>
        <v>OK</v>
      </c>
    </row>
    <row r="411" spans="1:11">
      <c r="A411" s="63">
        <v>2</v>
      </c>
      <c r="B411" s="34" t="s">
        <v>393</v>
      </c>
      <c r="C411" s="34" t="str">
        <f t="shared" si="13"/>
        <v>Surface de référence énergétique</v>
      </c>
      <c r="D411" s="8" t="s">
        <v>177</v>
      </c>
      <c r="E411" s="8" t="s">
        <v>1088</v>
      </c>
      <c r="F411" s="8" t="s">
        <v>1631</v>
      </c>
      <c r="G411" s="8" t="s">
        <v>740</v>
      </c>
      <c r="H411" s="65" t="str">
        <f>IF(LEN(D411)&lt;33,"OK","Fehler")</f>
        <v>OK</v>
      </c>
      <c r="I411" s="65" t="str">
        <f>IF(LEN(E411)&lt;33,"OK","Fehler")</f>
        <v>OK</v>
      </c>
      <c r="J411" s="65" t="str">
        <f>IF(LEN(F411)&lt;33,"OK","Fehler")</f>
        <v>OK</v>
      </c>
      <c r="K411" s="65" t="str">
        <f>IF(LEN(G411)&lt;33,"OK","Fehler")</f>
        <v>OK</v>
      </c>
    </row>
    <row r="412" spans="1:11">
      <c r="A412" s="63"/>
      <c r="B412" s="34"/>
      <c r="C412" s="34" t="str">
        <f t="shared" si="13"/>
        <v>Saisir la surface de référence énergétique.</v>
      </c>
      <c r="D412" s="8" t="s">
        <v>406</v>
      </c>
      <c r="E412" s="8" t="s">
        <v>1248</v>
      </c>
      <c r="F412" s="8" t="s">
        <v>1019</v>
      </c>
      <c r="G412" s="8" t="s">
        <v>1351</v>
      </c>
      <c r="H412" s="65" t="str">
        <f>IF(LEN(D412)&lt;256,"OK","Fehler")</f>
        <v>OK</v>
      </c>
      <c r="I412" s="65" t="str">
        <f>IF(LEN(E412)&lt;256,"OK","Fehler")</f>
        <v>OK</v>
      </c>
      <c r="J412" s="65" t="str">
        <f>IF(LEN(F412)&lt;256,"OK","Fehler")</f>
        <v>OK</v>
      </c>
      <c r="K412" s="65" t="str">
        <f>IF(LEN(G412)&lt;256,"OK","Fehler")</f>
        <v>OK</v>
      </c>
    </row>
    <row r="413" spans="1:11">
      <c r="A413" s="63"/>
      <c r="B413" s="34"/>
      <c r="C413" s="34" t="str">
        <f t="shared" si="13"/>
        <v>Erreur</v>
      </c>
      <c r="D413" s="8" t="s">
        <v>115</v>
      </c>
      <c r="E413" s="8" t="s">
        <v>130</v>
      </c>
      <c r="F413" s="8" t="s">
        <v>119</v>
      </c>
      <c r="G413" s="8" t="s">
        <v>126</v>
      </c>
      <c r="H413" s="65" t="str">
        <f>IF(LEN(D413)&lt;33,"OK","Fehler")</f>
        <v>OK</v>
      </c>
      <c r="I413" s="65" t="str">
        <f>IF(LEN(E413)&lt;33,"OK","Fehler")</f>
        <v>OK</v>
      </c>
      <c r="J413" s="65" t="str">
        <f>IF(LEN(F413)&lt;33,"OK","Fehler")</f>
        <v>OK</v>
      </c>
      <c r="K413" s="65" t="str">
        <f>IF(LEN(G413)&lt;33,"OK","Fehler")</f>
        <v>OK</v>
      </c>
    </row>
    <row r="414" spans="1:11">
      <c r="A414" s="63"/>
      <c r="B414" s="34"/>
      <c r="C414" s="34" t="str">
        <f t="shared" si="13"/>
        <v>Valeur de SRE requise entre 0 et 200'000 m2.</v>
      </c>
      <c r="D414" s="8" t="s">
        <v>407</v>
      </c>
      <c r="E414" s="8" t="s">
        <v>1249</v>
      </c>
      <c r="F414" s="8" t="s">
        <v>1020</v>
      </c>
      <c r="G414" s="8" t="s">
        <v>1352</v>
      </c>
      <c r="H414" s="65" t="str">
        <f>IF(LEN(D414)&lt;256,"OK","Fehler")</f>
        <v>OK</v>
      </c>
      <c r="I414" s="65" t="str">
        <f>IF(LEN(E414)&lt;256,"OK","Fehler")</f>
        <v>OK</v>
      </c>
      <c r="J414" s="65" t="str">
        <f>IF(LEN(F414)&lt;256,"OK","Fehler")</f>
        <v>OK</v>
      </c>
      <c r="K414" s="65" t="str">
        <f>IF(LEN(G414)&lt;256,"OK","Fehler")</f>
        <v>OK</v>
      </c>
    </row>
    <row r="415" spans="1:11">
      <c r="A415" s="63">
        <v>2</v>
      </c>
      <c r="B415" s="34" t="s">
        <v>394</v>
      </c>
      <c r="C415" s="34" t="str">
        <f t="shared" si="13"/>
        <v>Plancher chauffé contre n.ch.</v>
      </c>
      <c r="D415" s="8" t="s">
        <v>1632</v>
      </c>
      <c r="E415" s="8" t="s">
        <v>1635</v>
      </c>
      <c r="F415" s="8" t="s">
        <v>1634</v>
      </c>
      <c r="G415" s="8" t="s">
        <v>1633</v>
      </c>
      <c r="H415" s="65" t="str">
        <f>IF(LEN(D415)&lt;33,"OK","Fehler")</f>
        <v>OK</v>
      </c>
      <c r="I415" s="65" t="str">
        <f>IF(LEN(E415)&lt;33,"OK","Fehler")</f>
        <v>OK</v>
      </c>
      <c r="J415" s="65" t="str">
        <f>IF(LEN(F415)&lt;33,"OK","Fehler")</f>
        <v>OK</v>
      </c>
      <c r="K415" s="65" t="str">
        <f>IF(LEN(G415)&lt;33,"OK","Fehler")</f>
        <v>OK</v>
      </c>
    </row>
    <row r="416" spans="1:11">
      <c r="A416" s="63"/>
      <c r="B416" s="34"/>
      <c r="C416" s="34" t="str">
        <f t="shared" si="13"/>
        <v>Saisir la surface.</v>
      </c>
      <c r="D416" s="8" t="s">
        <v>408</v>
      </c>
      <c r="E416" s="8" t="s">
        <v>1250</v>
      </c>
      <c r="F416" s="8" t="s">
        <v>1021</v>
      </c>
      <c r="G416" s="8" t="s">
        <v>1350</v>
      </c>
      <c r="H416" s="65" t="str">
        <f>IF(LEN(D416)&lt;256,"OK","Fehler")</f>
        <v>OK</v>
      </c>
      <c r="I416" s="65" t="str">
        <f>IF(LEN(E416)&lt;256,"OK","Fehler")</f>
        <v>OK</v>
      </c>
      <c r="J416" s="65" t="str">
        <f>IF(LEN(F416)&lt;256,"OK","Fehler")</f>
        <v>OK</v>
      </c>
      <c r="K416" s="65" t="str">
        <f>IF(LEN(G416)&lt;256,"OK","Fehler")</f>
        <v>OK</v>
      </c>
    </row>
    <row r="417" spans="1:11">
      <c r="A417" s="63"/>
      <c r="B417" s="34"/>
      <c r="C417" s="34" t="str">
        <f t="shared" si="13"/>
        <v>Erreur</v>
      </c>
      <c r="D417" s="8" t="s">
        <v>115</v>
      </c>
      <c r="E417" s="8" t="s">
        <v>130</v>
      </c>
      <c r="F417" s="8" t="s">
        <v>119</v>
      </c>
      <c r="G417" s="8" t="s">
        <v>126</v>
      </c>
      <c r="H417" s="65" t="str">
        <f>IF(LEN(D417)&lt;33,"OK","Fehler")</f>
        <v>OK</v>
      </c>
      <c r="I417" s="65" t="str">
        <f>IF(LEN(E417)&lt;33,"OK","Fehler")</f>
        <v>OK</v>
      </c>
      <c r="J417" s="65" t="str">
        <f>IF(LEN(F417)&lt;33,"OK","Fehler")</f>
        <v>OK</v>
      </c>
      <c r="K417" s="65" t="str">
        <f>IF(LEN(G417)&lt;33,"OK","Fehler")</f>
        <v>OK</v>
      </c>
    </row>
    <row r="418" spans="1:11">
      <c r="A418" s="63"/>
      <c r="B418" s="34"/>
      <c r="C418" s="34" t="str">
        <f t="shared" si="13"/>
        <v>Saisir des valeurs entre 0 et la SRE.</v>
      </c>
      <c r="D418" s="8" t="s">
        <v>443</v>
      </c>
      <c r="E418" s="8" t="s">
        <v>1251</v>
      </c>
      <c r="F418" s="8" t="s">
        <v>1022</v>
      </c>
      <c r="G418" s="8" t="s">
        <v>1358</v>
      </c>
      <c r="H418" s="65" t="str">
        <f>IF(LEN(D418)&lt;256,"OK","Fehler")</f>
        <v>OK</v>
      </c>
      <c r="I418" s="65" t="str">
        <f>IF(LEN(E418)&lt;256,"OK","Fehler")</f>
        <v>OK</v>
      </c>
      <c r="J418" s="65" t="str">
        <f>IF(LEN(F418)&lt;256,"OK","Fehler")</f>
        <v>OK</v>
      </c>
      <c r="K418" s="65" t="str">
        <f>IF(LEN(G418)&lt;256,"OK","Fehler")</f>
        <v>OK</v>
      </c>
    </row>
    <row r="419" spans="1:11">
      <c r="A419" s="63">
        <v>2</v>
      </c>
      <c r="B419" s="34" t="s">
        <v>395</v>
      </c>
      <c r="C419" s="34" t="str">
        <f t="shared" si="13"/>
        <v>Etages non chauffés</v>
      </c>
      <c r="D419" s="8" t="s">
        <v>409</v>
      </c>
      <c r="E419" s="8" t="s">
        <v>1252</v>
      </c>
      <c r="F419" s="8" t="s">
        <v>1023</v>
      </c>
      <c r="G419" s="8" t="s">
        <v>1353</v>
      </c>
      <c r="H419" s="65" t="str">
        <f>IF(LEN(D419)&lt;33,"OK","Fehler")</f>
        <v>OK</v>
      </c>
      <c r="I419" s="65" t="str">
        <f>IF(LEN(E419)&lt;33,"OK","Fehler")</f>
        <v>OK</v>
      </c>
      <c r="J419" s="65" t="str">
        <f>IF(LEN(F419)&lt;33,"OK","Fehler")</f>
        <v>OK</v>
      </c>
      <c r="K419" s="65" t="str">
        <f>IF(LEN(G419)&lt;33,"OK","Fehler")</f>
        <v>OK</v>
      </c>
    </row>
    <row r="420" spans="1:11">
      <c r="A420" s="63"/>
      <c r="B420" s="34"/>
      <c r="C420" s="34" t="str">
        <f t="shared" si="13"/>
        <v>Saisir le nombre d'étages non chauffés (décimales admises).</v>
      </c>
      <c r="D420" s="8" t="s">
        <v>410</v>
      </c>
      <c r="E420" s="8" t="s">
        <v>1253</v>
      </c>
      <c r="F420" s="8" t="s">
        <v>1024</v>
      </c>
      <c r="G420" s="8" t="s">
        <v>1354</v>
      </c>
      <c r="H420" s="65" t="str">
        <f>IF(LEN(D420)&lt;256,"OK","Fehler")</f>
        <v>OK</v>
      </c>
      <c r="I420" s="65" t="str">
        <f>IF(LEN(E420)&lt;256,"OK","Fehler")</f>
        <v>OK</v>
      </c>
      <c r="J420" s="65" t="str">
        <f>IF(LEN(F420)&lt;256,"OK","Fehler")</f>
        <v>OK</v>
      </c>
      <c r="K420" s="65" t="str">
        <f>IF(LEN(G420)&lt;256,"OK","Fehler")</f>
        <v>OK</v>
      </c>
    </row>
    <row r="421" spans="1:11">
      <c r="A421" s="63"/>
      <c r="B421" s="34"/>
      <c r="C421" s="34" t="str">
        <f t="shared" si="13"/>
        <v>Erreur</v>
      </c>
      <c r="D421" s="8" t="s">
        <v>115</v>
      </c>
      <c r="E421" s="8" t="s">
        <v>130</v>
      </c>
      <c r="F421" s="8" t="s">
        <v>119</v>
      </c>
      <c r="G421" s="8" t="s">
        <v>126</v>
      </c>
      <c r="H421" s="65" t="str">
        <f>IF(LEN(D421)&lt;33,"OK","Fehler")</f>
        <v>OK</v>
      </c>
      <c r="I421" s="65" t="str">
        <f>IF(LEN(E421)&lt;33,"OK","Fehler")</f>
        <v>OK</v>
      </c>
      <c r="J421" s="65" t="str">
        <f>IF(LEN(F421)&lt;33,"OK","Fehler")</f>
        <v>OK</v>
      </c>
      <c r="K421" s="65" t="str">
        <f>IF(LEN(G421)&lt;33,"OK","Fehler")</f>
        <v>OK</v>
      </c>
    </row>
    <row r="422" spans="1:11">
      <c r="A422" s="63"/>
      <c r="B422" s="34"/>
      <c r="C422" s="34" t="str">
        <f t="shared" si="13"/>
        <v>Saisir des valeurs entre 0 et 20.</v>
      </c>
      <c r="D422" s="8" t="s">
        <v>411</v>
      </c>
      <c r="E422" s="8" t="s">
        <v>1254</v>
      </c>
      <c r="F422" s="8" t="s">
        <v>1025</v>
      </c>
      <c r="G422" s="8" t="s">
        <v>1355</v>
      </c>
      <c r="H422" s="65" t="str">
        <f>IF(LEN(D422)&lt;256,"OK","Fehler")</f>
        <v>OK</v>
      </c>
      <c r="I422" s="65" t="str">
        <f>IF(LEN(E422)&lt;256,"OK","Fehler")</f>
        <v>OK</v>
      </c>
      <c r="J422" s="65" t="str">
        <f>IF(LEN(F422)&lt;256,"OK","Fehler")</f>
        <v>OK</v>
      </c>
      <c r="K422" s="65" t="str">
        <f>IF(LEN(G422)&lt;256,"OK","Fehler")</f>
        <v>OK</v>
      </c>
    </row>
    <row r="423" spans="1:11">
      <c r="A423" s="63">
        <v>2</v>
      </c>
      <c r="B423" s="34" t="s">
        <v>396</v>
      </c>
      <c r="C423" s="34" t="str">
        <f t="shared" si="13"/>
        <v>Hauteur moyenne des locaux</v>
      </c>
      <c r="D423" s="8" t="s">
        <v>338</v>
      </c>
      <c r="E423" s="8" t="s">
        <v>1255</v>
      </c>
      <c r="F423" s="8" t="s">
        <v>1026</v>
      </c>
      <c r="G423" s="8" t="s">
        <v>1356</v>
      </c>
      <c r="H423" s="65" t="str">
        <f>IF(LEN(D423)&lt;33,"OK","Fehler")</f>
        <v>OK</v>
      </c>
      <c r="I423" s="65" t="str">
        <f>IF(LEN(E423)&lt;33,"OK","Fehler")</f>
        <v>OK</v>
      </c>
      <c r="J423" s="65" t="str">
        <f>IF(LEN(F423)&lt;33,"OK","Fehler")</f>
        <v>OK</v>
      </c>
      <c r="K423" s="65" t="str">
        <f>IF(LEN(G423)&lt;33,"OK","Fehler")</f>
        <v>OK</v>
      </c>
    </row>
    <row r="424" spans="1:11">
      <c r="A424" s="63"/>
      <c r="B424" s="34"/>
      <c r="C424" s="34" t="str">
        <f t="shared" si="13"/>
        <v>Saisir la hauteur moyenne de tous les étages chauffés.</v>
      </c>
      <c r="D424" s="8" t="s">
        <v>412</v>
      </c>
      <c r="E424" s="8" t="s">
        <v>1256</v>
      </c>
      <c r="F424" s="8" t="s">
        <v>1027</v>
      </c>
      <c r="G424" s="8" t="s">
        <v>1357</v>
      </c>
      <c r="H424" s="65" t="str">
        <f>IF(LEN(D424)&lt;256,"OK","Fehler")</f>
        <v>OK</v>
      </c>
      <c r="I424" s="65" t="str">
        <f>IF(LEN(E424)&lt;256,"OK","Fehler")</f>
        <v>OK</v>
      </c>
      <c r="J424" s="65" t="str">
        <f>IF(LEN(F424)&lt;256,"OK","Fehler")</f>
        <v>OK</v>
      </c>
      <c r="K424" s="65" t="str">
        <f>IF(LEN(G424)&lt;256,"OK","Fehler")</f>
        <v>OK</v>
      </c>
    </row>
    <row r="425" spans="1:11">
      <c r="A425" s="63"/>
      <c r="B425" s="34"/>
      <c r="C425" s="34" t="str">
        <f t="shared" si="13"/>
        <v>Erreur</v>
      </c>
      <c r="D425" s="8" t="s">
        <v>115</v>
      </c>
      <c r="E425" s="8" t="s">
        <v>130</v>
      </c>
      <c r="F425" s="8" t="s">
        <v>119</v>
      </c>
      <c r="G425" s="8" t="s">
        <v>126</v>
      </c>
      <c r="H425" s="65" t="str">
        <f>IF(LEN(D425)&lt;33,"OK","Fehler")</f>
        <v>OK</v>
      </c>
      <c r="I425" s="65" t="str">
        <f>IF(LEN(E425)&lt;33,"OK","Fehler")</f>
        <v>OK</v>
      </c>
      <c r="J425" s="65" t="str">
        <f>IF(LEN(F425)&lt;33,"OK","Fehler")</f>
        <v>OK</v>
      </c>
      <c r="K425" s="65" t="str">
        <f>IF(LEN(G425)&lt;33,"OK","Fehler")</f>
        <v>OK</v>
      </c>
    </row>
    <row r="426" spans="1:11">
      <c r="A426" s="63"/>
      <c r="B426" s="34"/>
      <c r="C426" s="34" t="str">
        <f t="shared" si="13"/>
        <v>Saisir des valeurs entre 0 et 20.</v>
      </c>
      <c r="D426" s="8" t="s">
        <v>411</v>
      </c>
      <c r="E426" s="8" t="s">
        <v>1257</v>
      </c>
      <c r="F426" s="8" t="s">
        <v>1025</v>
      </c>
      <c r="G426" s="8" t="s">
        <v>1355</v>
      </c>
      <c r="H426" s="65" t="str">
        <f>IF(LEN(D426)&lt;256,"OK","Fehler")</f>
        <v>OK</v>
      </c>
      <c r="I426" s="65" t="str">
        <f>IF(LEN(E426)&lt;256,"OK","Fehler")</f>
        <v>OK</v>
      </c>
      <c r="J426" s="65" t="str">
        <f>IF(LEN(F426)&lt;256,"OK","Fehler")</f>
        <v>OK</v>
      </c>
      <c r="K426" s="65" t="str">
        <f>IF(LEN(G426)&lt;256,"OK","Fehler")</f>
        <v>OK</v>
      </c>
    </row>
    <row r="427" spans="1:11">
      <c r="A427" s="63">
        <v>2</v>
      </c>
      <c r="B427" s="34" t="s">
        <v>397</v>
      </c>
      <c r="C427" s="34" t="str">
        <f t="shared" si="13"/>
        <v>Installation PV</v>
      </c>
      <c r="D427" s="8" t="s">
        <v>413</v>
      </c>
      <c r="E427" s="8" t="s">
        <v>1258</v>
      </c>
      <c r="F427" s="8" t="s">
        <v>1028</v>
      </c>
      <c r="G427" s="8" t="s">
        <v>1359</v>
      </c>
      <c r="H427" s="65" t="str">
        <f>IF(LEN(D427)&lt;33,"OK","Fehler")</f>
        <v>OK</v>
      </c>
      <c r="I427" s="65" t="str">
        <f>IF(LEN(E427)&lt;33,"OK","Fehler")</f>
        <v>OK</v>
      </c>
      <c r="J427" s="65" t="str">
        <f>IF(LEN(F427)&lt;33,"OK","Fehler")</f>
        <v>OK</v>
      </c>
      <c r="K427" s="65" t="str">
        <f>IF(LEN(G427)&lt;33,"OK","Fehler")</f>
        <v>OK</v>
      </c>
    </row>
    <row r="428" spans="1:11">
      <c r="A428" s="63"/>
      <c r="B428" s="34"/>
      <c r="C428" s="34" t="str">
        <f t="shared" si="13"/>
        <v>Saisir la surface nette des absorbeurs photovoltaïques.</v>
      </c>
      <c r="D428" s="8" t="s">
        <v>414</v>
      </c>
      <c r="E428" s="8" t="s">
        <v>1259</v>
      </c>
      <c r="F428" s="8" t="s">
        <v>1029</v>
      </c>
      <c r="G428" s="8" t="s">
        <v>1360</v>
      </c>
      <c r="H428" s="65" t="str">
        <f>IF(LEN(D428)&lt;256,"OK","Fehler")</f>
        <v>OK</v>
      </c>
      <c r="I428" s="65" t="str">
        <f>IF(LEN(E428)&lt;256,"OK","Fehler")</f>
        <v>OK</v>
      </c>
      <c r="J428" s="65" t="str">
        <f>IF(LEN(F428)&lt;256,"OK","Fehler")</f>
        <v>OK</v>
      </c>
      <c r="K428" s="65" t="str">
        <f>IF(LEN(G428)&lt;256,"OK","Fehler")</f>
        <v>OK</v>
      </c>
    </row>
    <row r="429" spans="1:11">
      <c r="A429" s="63"/>
      <c r="B429" s="34"/>
      <c r="C429" s="34" t="str">
        <f t="shared" si="13"/>
        <v>Erreur</v>
      </c>
      <c r="D429" s="8" t="s">
        <v>115</v>
      </c>
      <c r="E429" s="8" t="s">
        <v>130</v>
      </c>
      <c r="F429" s="8" t="s">
        <v>119</v>
      </c>
      <c r="G429" s="8" t="s">
        <v>126</v>
      </c>
      <c r="H429" s="65" t="str">
        <f>IF(LEN(D429)&lt;33,"OK","Fehler")</f>
        <v>OK</v>
      </c>
      <c r="I429" s="65" t="str">
        <f>IF(LEN(E429)&lt;33,"OK","Fehler")</f>
        <v>OK</v>
      </c>
      <c r="J429" s="65" t="str">
        <f>IF(LEN(F429)&lt;33,"OK","Fehler")</f>
        <v>OK</v>
      </c>
      <c r="K429" s="65" t="str">
        <f>IF(LEN(G429)&lt;33,"OK","Fehler")</f>
        <v>OK</v>
      </c>
    </row>
    <row r="430" spans="1:11">
      <c r="A430" s="63"/>
      <c r="B430" s="34"/>
      <c r="C430" s="34" t="str">
        <f t="shared" si="13"/>
        <v>Saisir des valeurs entre 0 et la surface de plancher multipliée par 2.5.</v>
      </c>
      <c r="D430" s="8" t="s">
        <v>415</v>
      </c>
      <c r="E430" s="8" t="s">
        <v>1260</v>
      </c>
      <c r="F430" s="8" t="s">
        <v>1030</v>
      </c>
      <c r="G430" s="8" t="s">
        <v>1361</v>
      </c>
      <c r="H430" s="65" t="str">
        <f>IF(LEN(D430)&lt;256,"OK","Fehler")</f>
        <v>OK</v>
      </c>
      <c r="I430" s="65" t="str">
        <f>IF(LEN(E430)&lt;256,"OK","Fehler")</f>
        <v>OK</v>
      </c>
      <c r="J430" s="65" t="str">
        <f>IF(LEN(F430)&lt;256,"OK","Fehler")</f>
        <v>OK</v>
      </c>
      <c r="K430" s="65" t="str">
        <f>IF(LEN(G430)&lt;256,"OK","Fehler")</f>
        <v>OK</v>
      </c>
    </row>
    <row r="431" spans="1:11">
      <c r="A431" s="63">
        <v>2</v>
      </c>
      <c r="B431" s="34" t="s">
        <v>398</v>
      </c>
      <c r="C431" s="34" t="str">
        <f t="shared" si="13"/>
        <v>Sondes géothermiques</v>
      </c>
      <c r="D431" s="8" t="s">
        <v>416</v>
      </c>
      <c r="E431" s="8" t="s">
        <v>1261</v>
      </c>
      <c r="F431" s="8" t="s">
        <v>873</v>
      </c>
      <c r="G431" s="8" t="s">
        <v>1364</v>
      </c>
      <c r="H431" s="65" t="str">
        <f>IF(LEN(D431)&lt;33,"OK","Fehler")</f>
        <v>OK</v>
      </c>
      <c r="I431" s="65" t="str">
        <f>IF(LEN(E431)&lt;33,"OK","Fehler")</f>
        <v>OK</v>
      </c>
      <c r="J431" s="65" t="str">
        <f>IF(LEN(F431)&lt;33,"OK","Fehler")</f>
        <v>OK</v>
      </c>
      <c r="K431" s="65" t="str">
        <f>IF(LEN(G431)&lt;33,"OK","Fehler")</f>
        <v>OK</v>
      </c>
    </row>
    <row r="432" spans="1:11">
      <c r="A432" s="63"/>
      <c r="B432" s="34"/>
      <c r="C432" s="34" t="str">
        <f t="shared" si="13"/>
        <v>Sélectionner oui, si les sondes géothermiques sont posées à neuf ou remplacées.</v>
      </c>
      <c r="D432" s="8" t="s">
        <v>417</v>
      </c>
      <c r="E432" s="8" t="s">
        <v>1262</v>
      </c>
      <c r="F432" s="8" t="s">
        <v>1031</v>
      </c>
      <c r="G432" s="8" t="s">
        <v>1362</v>
      </c>
      <c r="H432" s="65" t="str">
        <f>IF(LEN(D432)&lt;256,"OK","Fehler")</f>
        <v>OK</v>
      </c>
      <c r="I432" s="65" t="str">
        <f>IF(LEN(E432)&lt;256,"OK","Fehler")</f>
        <v>OK</v>
      </c>
      <c r="J432" s="65" t="str">
        <f>IF(LEN(F432)&lt;256,"OK","Fehler")</f>
        <v>OK</v>
      </c>
      <c r="K432" s="65" t="str">
        <f>IF(LEN(G432)&lt;256,"OK","Fehler")</f>
        <v>OK</v>
      </c>
    </row>
    <row r="433" spans="1:11">
      <c r="A433" s="63"/>
      <c r="B433" s="34"/>
      <c r="C433" s="34" t="str">
        <f t="shared" si="13"/>
        <v>Erreur</v>
      </c>
      <c r="D433" s="8" t="s">
        <v>115</v>
      </c>
      <c r="E433" s="8" t="s">
        <v>130</v>
      </c>
      <c r="F433" s="8" t="s">
        <v>119</v>
      </c>
      <c r="G433" s="8" t="s">
        <v>126</v>
      </c>
      <c r="H433" s="65" t="str">
        <f>IF(LEN(D433)&lt;33,"OK","Fehler")</f>
        <v>OK</v>
      </c>
      <c r="I433" s="65" t="str">
        <f>IF(LEN(E433)&lt;33,"OK","Fehler")</f>
        <v>OK</v>
      </c>
      <c r="J433" s="65" t="str">
        <f>IF(LEN(F433)&lt;33,"OK","Fehler")</f>
        <v>OK</v>
      </c>
      <c r="K433" s="65" t="str">
        <f>IF(LEN(G433)&lt;33,"OK","Fehler")</f>
        <v>OK</v>
      </c>
    </row>
    <row r="434" spans="1:11">
      <c r="A434" s="63"/>
      <c r="B434" s="34"/>
      <c r="C434" s="34" t="str">
        <f t="shared" si="13"/>
        <v>Sélectionner une entrée du menu déroulant.</v>
      </c>
      <c r="D434" s="8" t="s">
        <v>1346</v>
      </c>
      <c r="E434" s="8" t="s">
        <v>1263</v>
      </c>
      <c r="F434" s="8" t="s">
        <v>1018</v>
      </c>
      <c r="G434" s="8" t="s">
        <v>1349</v>
      </c>
      <c r="H434" s="65" t="str">
        <f>IF(LEN(D434)&lt;256,"OK","Fehler")</f>
        <v>OK</v>
      </c>
      <c r="I434" s="65" t="str">
        <f>IF(LEN(E434)&lt;256,"OK","Fehler")</f>
        <v>OK</v>
      </c>
      <c r="J434" s="65" t="str">
        <f>IF(LEN(F434)&lt;256,"OK","Fehler")</f>
        <v>OK</v>
      </c>
      <c r="K434" s="65" t="str">
        <f>IF(LEN(G434)&lt;256,"OK","Fehler")</f>
        <v>OK</v>
      </c>
    </row>
    <row r="435" spans="1:11">
      <c r="A435" s="63">
        <v>2</v>
      </c>
      <c r="B435" s="34" t="s">
        <v>399</v>
      </c>
      <c r="C435" s="34" t="str">
        <f t="shared" si="13"/>
        <v>Distributions de chaleur</v>
      </c>
      <c r="D435" s="8" t="s">
        <v>421</v>
      </c>
      <c r="E435" s="8" t="s">
        <v>1264</v>
      </c>
      <c r="F435" s="8" t="s">
        <v>1032</v>
      </c>
      <c r="G435" s="8" t="s">
        <v>1363</v>
      </c>
      <c r="H435" s="65" t="str">
        <f>IF(LEN(D435)&lt;33,"OK","Fehler")</f>
        <v>OK</v>
      </c>
      <c r="I435" s="65" t="str">
        <f>IF(LEN(E435)&lt;33,"OK","Fehler")</f>
        <v>OK</v>
      </c>
      <c r="J435" s="65" t="str">
        <f>IF(LEN(F435)&lt;33,"OK","Fehler")</f>
        <v>OK</v>
      </c>
      <c r="K435" s="65" t="str">
        <f>IF(LEN(G435)&lt;33,"OK","Fehler")</f>
        <v>OK</v>
      </c>
    </row>
    <row r="436" spans="1:11">
      <c r="A436" s="63"/>
      <c r="B436" s="34"/>
      <c r="C436" s="34" t="str">
        <f t="shared" si="13"/>
        <v>Sélectionner oui, si les distributions de chaleur sont en majeure partie remplacées ou installées à neuf.</v>
      </c>
      <c r="D436" s="8" t="s">
        <v>422</v>
      </c>
      <c r="E436" s="8" t="s">
        <v>1265</v>
      </c>
      <c r="F436" s="8" t="s">
        <v>1033</v>
      </c>
      <c r="G436" s="8" t="s">
        <v>1365</v>
      </c>
      <c r="H436" s="65" t="str">
        <f>IF(LEN(D436)&lt;256,"OK","Fehler")</f>
        <v>OK</v>
      </c>
      <c r="I436" s="65" t="str">
        <f>IF(LEN(E436)&lt;256,"OK","Fehler")</f>
        <v>OK</v>
      </c>
      <c r="J436" s="65" t="str">
        <f>IF(LEN(F436)&lt;256,"OK","Fehler")</f>
        <v>OK</v>
      </c>
      <c r="K436" s="65" t="str">
        <f>IF(LEN(G436)&lt;256,"OK","Fehler")</f>
        <v>OK</v>
      </c>
    </row>
    <row r="437" spans="1:11">
      <c r="A437" s="63"/>
      <c r="B437" s="34"/>
      <c r="C437" s="34" t="str">
        <f t="shared" si="13"/>
        <v>Erreur</v>
      </c>
      <c r="D437" s="8" t="s">
        <v>115</v>
      </c>
      <c r="E437" s="8" t="s">
        <v>130</v>
      </c>
      <c r="F437" s="8" t="s">
        <v>119</v>
      </c>
      <c r="G437" s="8" t="s">
        <v>126</v>
      </c>
      <c r="H437" s="65" t="str">
        <f>IF(LEN(D437)&lt;33,"OK","Fehler")</f>
        <v>OK</v>
      </c>
      <c r="I437" s="65" t="str">
        <f>IF(LEN(E437)&lt;33,"OK","Fehler")</f>
        <v>OK</v>
      </c>
      <c r="J437" s="65" t="str">
        <f>IF(LEN(F437)&lt;33,"OK","Fehler")</f>
        <v>OK</v>
      </c>
      <c r="K437" s="65" t="str">
        <f>IF(LEN(G437)&lt;33,"OK","Fehler")</f>
        <v>OK</v>
      </c>
    </row>
    <row r="438" spans="1:11">
      <c r="A438" s="63"/>
      <c r="B438" s="34"/>
      <c r="C438" s="34" t="str">
        <f t="shared" si="13"/>
        <v>Sélectionner une entrée du menu déroulant.</v>
      </c>
      <c r="D438" s="8" t="s">
        <v>12</v>
      </c>
      <c r="E438" s="8" t="s">
        <v>1263</v>
      </c>
      <c r="F438" s="8" t="s">
        <v>1018</v>
      </c>
      <c r="G438" s="8" t="s">
        <v>1349</v>
      </c>
      <c r="H438" s="65" t="str">
        <f>IF(LEN(D438)&lt;256,"OK","Fehler")</f>
        <v>OK</v>
      </c>
      <c r="I438" s="65" t="str">
        <f>IF(LEN(E438)&lt;256,"OK","Fehler")</f>
        <v>OK</v>
      </c>
      <c r="J438" s="65" t="str">
        <f>IF(LEN(F438)&lt;256,"OK","Fehler")</f>
        <v>OK</v>
      </c>
      <c r="K438" s="65" t="str">
        <f>IF(LEN(G438)&lt;256,"OK","Fehler")</f>
        <v>OK</v>
      </c>
    </row>
    <row r="439" spans="1:11">
      <c r="A439" s="63">
        <v>2</v>
      </c>
      <c r="B439" s="34" t="s">
        <v>400</v>
      </c>
      <c r="C439" s="34" t="str">
        <f t="shared" ref="C439:C470" si="14">INDEX($D439:$G439,1,MATCH(Sprachwahl,ListSprache,0))</f>
        <v>Installations de ventilation</v>
      </c>
      <c r="D439" s="8" t="s">
        <v>420</v>
      </c>
      <c r="E439" s="8" t="s">
        <v>1266</v>
      </c>
      <c r="F439" s="8" t="s">
        <v>1034</v>
      </c>
      <c r="G439" s="8" t="s">
        <v>1366</v>
      </c>
      <c r="H439" s="65" t="str">
        <f>IF(LEN(D439)&lt;33,"OK","Fehler")</f>
        <v>OK</v>
      </c>
      <c r="I439" s="65" t="str">
        <f>IF(LEN(E439)&lt;33,"OK","Fehler")</f>
        <v>OK</v>
      </c>
      <c r="J439" s="65" t="str">
        <f>IF(LEN(F439)&lt;33,"OK","Fehler")</f>
        <v>OK</v>
      </c>
      <c r="K439" s="65" t="str">
        <f>IF(LEN(G439)&lt;33,"OK","Fehler")</f>
        <v>OK</v>
      </c>
    </row>
    <row r="440" spans="1:11">
      <c r="A440" s="63"/>
      <c r="B440" s="34"/>
      <c r="C440" s="34" t="str">
        <f t="shared" si="14"/>
        <v>Sélectionner oui, si les installations de ventilation sont en majeure partie remplacées ou installées à neuf.</v>
      </c>
      <c r="D440" s="8" t="s">
        <v>419</v>
      </c>
      <c r="E440" s="8" t="s">
        <v>1267</v>
      </c>
      <c r="F440" s="8" t="s">
        <v>1035</v>
      </c>
      <c r="G440" s="8" t="s">
        <v>1367</v>
      </c>
      <c r="H440" s="65" t="str">
        <f>IF(LEN(D440)&lt;256,"OK","Fehler")</f>
        <v>OK</v>
      </c>
      <c r="I440" s="65" t="str">
        <f>IF(LEN(E440)&lt;256,"OK","Fehler")</f>
        <v>OK</v>
      </c>
      <c r="J440" s="65" t="str">
        <f>IF(LEN(F440)&lt;256,"OK","Fehler")</f>
        <v>OK</v>
      </c>
      <c r="K440" s="65" t="str">
        <f>IF(LEN(G440)&lt;256,"OK","Fehler")</f>
        <v>OK</v>
      </c>
    </row>
    <row r="441" spans="1:11">
      <c r="A441" s="63"/>
      <c r="B441" s="34"/>
      <c r="C441" s="34" t="str">
        <f t="shared" si="14"/>
        <v>Erreur</v>
      </c>
      <c r="D441" s="8" t="s">
        <v>115</v>
      </c>
      <c r="E441" s="8" t="s">
        <v>130</v>
      </c>
      <c r="F441" s="8" t="s">
        <v>119</v>
      </c>
      <c r="G441" s="8" t="s">
        <v>126</v>
      </c>
      <c r="H441" s="65" t="str">
        <f>IF(LEN(D441)&lt;33,"OK","Fehler")</f>
        <v>OK</v>
      </c>
      <c r="I441" s="65" t="str">
        <f>IF(LEN(E441)&lt;33,"OK","Fehler")</f>
        <v>OK</v>
      </c>
      <c r="J441" s="65" t="str">
        <f>IF(LEN(F441)&lt;33,"OK","Fehler")</f>
        <v>OK</v>
      </c>
      <c r="K441" s="65" t="str">
        <f>IF(LEN(G441)&lt;33,"OK","Fehler")</f>
        <v>OK</v>
      </c>
    </row>
    <row r="442" spans="1:11">
      <c r="A442" s="63"/>
      <c r="B442" s="34"/>
      <c r="C442" s="34" t="str">
        <f t="shared" si="14"/>
        <v>Sélectionner une entrée du menu déroulant.</v>
      </c>
      <c r="D442" s="8" t="s">
        <v>12</v>
      </c>
      <c r="E442" s="8" t="s">
        <v>1263</v>
      </c>
      <c r="F442" s="8" t="s">
        <v>1018</v>
      </c>
      <c r="G442" s="8" t="s">
        <v>1349</v>
      </c>
      <c r="H442" s="65" t="str">
        <f>IF(LEN(D442)&lt;256,"OK","Fehler")</f>
        <v>OK</v>
      </c>
      <c r="I442" s="65" t="str">
        <f>IF(LEN(E442)&lt;256,"OK","Fehler")</f>
        <v>OK</v>
      </c>
      <c r="J442" s="65" t="str">
        <f>IF(LEN(F442)&lt;256,"OK","Fehler")</f>
        <v>OK</v>
      </c>
      <c r="K442" s="65" t="str">
        <f>IF(LEN(G442)&lt;256,"OK","Fehler")</f>
        <v>OK</v>
      </c>
    </row>
    <row r="443" spans="1:11">
      <c r="A443" s="63">
        <v>2</v>
      </c>
      <c r="B443" s="34" t="s">
        <v>401</v>
      </c>
      <c r="C443" s="34" t="str">
        <f t="shared" si="14"/>
        <v>Installations électriques</v>
      </c>
      <c r="D443" s="8" t="s">
        <v>346</v>
      </c>
      <c r="E443" s="8" t="s">
        <v>1268</v>
      </c>
      <c r="F443" s="8" t="s">
        <v>1036</v>
      </c>
      <c r="G443" s="8" t="s">
        <v>1368</v>
      </c>
      <c r="H443" s="65" t="str">
        <f>IF(LEN(D443)&lt;33,"OK","Fehler")</f>
        <v>OK</v>
      </c>
      <c r="I443" s="65" t="str">
        <f>IF(LEN(E443)&lt;33,"OK","Fehler")</f>
        <v>OK</v>
      </c>
      <c r="J443" s="65" t="str">
        <f>IF(LEN(F443)&lt;33,"OK","Fehler")</f>
        <v>OK</v>
      </c>
      <c r="K443" s="65" t="str">
        <f>IF(LEN(G443)&lt;33,"OK","Fehler")</f>
        <v>OK</v>
      </c>
    </row>
    <row r="444" spans="1:11">
      <c r="A444" s="63"/>
      <c r="B444" s="34"/>
      <c r="C444" s="34" t="str">
        <f t="shared" si="14"/>
        <v>Sélectionner oui, si les installations électriques sont en majeure partie remplacées ou installées à neuf.</v>
      </c>
      <c r="D444" s="8" t="s">
        <v>418</v>
      </c>
      <c r="E444" s="8" t="s">
        <v>1269</v>
      </c>
      <c r="F444" s="8" t="s">
        <v>1037</v>
      </c>
      <c r="G444" s="8" t="s">
        <v>1369</v>
      </c>
      <c r="H444" s="65" t="str">
        <f>IF(LEN(D444)&lt;256,"OK","Fehler")</f>
        <v>OK</v>
      </c>
      <c r="I444" s="65" t="str">
        <f>IF(LEN(E444)&lt;256,"OK","Fehler")</f>
        <v>OK</v>
      </c>
      <c r="J444" s="65" t="str">
        <f>IF(LEN(F444)&lt;256,"OK","Fehler")</f>
        <v>OK</v>
      </c>
      <c r="K444" s="65" t="str">
        <f>IF(LEN(G444)&lt;256,"OK","Fehler")</f>
        <v>OK</v>
      </c>
    </row>
    <row r="445" spans="1:11">
      <c r="A445" s="63"/>
      <c r="B445" s="34"/>
      <c r="C445" s="34" t="str">
        <f t="shared" si="14"/>
        <v>Erreur</v>
      </c>
      <c r="D445" s="8" t="s">
        <v>115</v>
      </c>
      <c r="E445" s="8" t="s">
        <v>130</v>
      </c>
      <c r="F445" s="8" t="s">
        <v>119</v>
      </c>
      <c r="G445" s="8" t="s">
        <v>126</v>
      </c>
      <c r="H445" s="65" t="str">
        <f>IF(LEN(D445)&lt;33,"OK","Fehler")</f>
        <v>OK</v>
      </c>
      <c r="I445" s="65" t="str">
        <f>IF(LEN(E445)&lt;33,"OK","Fehler")</f>
        <v>OK</v>
      </c>
      <c r="J445" s="65" t="str">
        <f>IF(LEN(F445)&lt;33,"OK","Fehler")</f>
        <v>OK</v>
      </c>
      <c r="K445" s="65" t="str">
        <f>IF(LEN(G445)&lt;33,"OK","Fehler")</f>
        <v>OK</v>
      </c>
    </row>
    <row r="446" spans="1:11">
      <c r="A446" s="63"/>
      <c r="B446" s="34"/>
      <c r="C446" s="34" t="str">
        <f t="shared" si="14"/>
        <v>Sélectionner une entrée du menu déroulant.</v>
      </c>
      <c r="D446" s="8" t="s">
        <v>12</v>
      </c>
      <c r="E446" s="8" t="s">
        <v>1263</v>
      </c>
      <c r="F446" s="8" t="s">
        <v>1018</v>
      </c>
      <c r="G446" s="8" t="s">
        <v>1349</v>
      </c>
      <c r="H446" s="65" t="str">
        <f>IF(LEN(D446)&lt;256,"OK","Fehler")</f>
        <v>OK</v>
      </c>
      <c r="I446" s="65" t="str">
        <f>IF(LEN(E446)&lt;256,"OK","Fehler")</f>
        <v>OK</v>
      </c>
      <c r="J446" s="65" t="str">
        <f>IF(LEN(F446)&lt;256,"OK","Fehler")</f>
        <v>OK</v>
      </c>
      <c r="K446" s="65" t="str">
        <f>IF(LEN(G446)&lt;256,"OK","Fehler")</f>
        <v>OK</v>
      </c>
    </row>
    <row r="447" spans="1:11">
      <c r="A447" s="63">
        <v>2</v>
      </c>
      <c r="B447" s="34" t="s">
        <v>2329</v>
      </c>
      <c r="C447" s="34" t="str">
        <f t="shared" si="14"/>
        <v>Type de plan</v>
      </c>
      <c r="D447" s="8" t="s">
        <v>316</v>
      </c>
      <c r="E447" s="8" t="s">
        <v>1091</v>
      </c>
      <c r="F447" s="8" t="s">
        <v>1038</v>
      </c>
      <c r="G447" s="8" t="s">
        <v>1370</v>
      </c>
      <c r="H447" s="65" t="str">
        <f>IF(LEN(D447)&lt;33,"OK","Fehler")</f>
        <v>OK</v>
      </c>
      <c r="I447" s="65" t="str">
        <f>IF(LEN(E447)&lt;33,"OK","Fehler")</f>
        <v>OK</v>
      </c>
      <c r="J447" s="65" t="str">
        <f>IF(LEN(F447)&lt;33,"OK","Fehler")</f>
        <v>OK</v>
      </c>
      <c r="K447" s="65" t="str">
        <f>IF(LEN(G447)&lt;33,"OK","Fehler")</f>
        <v>OK</v>
      </c>
    </row>
    <row r="448" spans="1:11">
      <c r="A448" s="63"/>
      <c r="B448" s="34"/>
      <c r="C448" s="34" t="str">
        <f t="shared" si="14"/>
        <v>Sélectionner dans le menu déroulant le type de plan qui correspond le mieux.</v>
      </c>
      <c r="D448" s="8" t="s">
        <v>423</v>
      </c>
      <c r="E448" s="8" t="s">
        <v>1270</v>
      </c>
      <c r="F448" s="8" t="s">
        <v>1039</v>
      </c>
      <c r="G448" s="8" t="s">
        <v>1371</v>
      </c>
      <c r="H448" s="65" t="str">
        <f>IF(LEN(D448)&lt;256,"OK","Fehler")</f>
        <v>OK</v>
      </c>
      <c r="I448" s="65" t="str">
        <f>IF(LEN(E448)&lt;256,"OK","Fehler")</f>
        <v>OK</v>
      </c>
      <c r="J448" s="65" t="str">
        <f>IF(LEN(F448)&lt;256,"OK","Fehler")</f>
        <v>OK</v>
      </c>
      <c r="K448" s="65" t="str">
        <f>IF(LEN(G448)&lt;256,"OK","Fehler")</f>
        <v>OK</v>
      </c>
    </row>
    <row r="449" spans="1:11">
      <c r="A449" s="63"/>
      <c r="B449" s="34"/>
      <c r="C449" s="34" t="str">
        <f t="shared" si="14"/>
        <v>Erreur</v>
      </c>
      <c r="D449" s="8" t="s">
        <v>115</v>
      </c>
      <c r="E449" s="8" t="s">
        <v>130</v>
      </c>
      <c r="F449" s="8" t="s">
        <v>119</v>
      </c>
      <c r="G449" s="8" t="s">
        <v>126</v>
      </c>
      <c r="H449" s="65" t="str">
        <f>IF(LEN(D449)&lt;33,"OK","Fehler")</f>
        <v>OK</v>
      </c>
      <c r="I449" s="65" t="str">
        <f>IF(LEN(E449)&lt;33,"OK","Fehler")</f>
        <v>OK</v>
      </c>
      <c r="J449" s="65" t="str">
        <f>IF(LEN(F449)&lt;33,"OK","Fehler")</f>
        <v>OK</v>
      </c>
      <c r="K449" s="65" t="str">
        <f>IF(LEN(G449)&lt;33,"OK","Fehler")</f>
        <v>OK</v>
      </c>
    </row>
    <row r="450" spans="1:11">
      <c r="A450" s="63"/>
      <c r="B450" s="34"/>
      <c r="C450" s="34" t="str">
        <f t="shared" si="14"/>
        <v>Sélectionner une entrée du menu déroulant.</v>
      </c>
      <c r="D450" s="8" t="s">
        <v>12</v>
      </c>
      <c r="E450" s="8" t="s">
        <v>1263</v>
      </c>
      <c r="F450" s="8" t="s">
        <v>1018</v>
      </c>
      <c r="G450" s="8" t="s">
        <v>1349</v>
      </c>
      <c r="H450" s="65" t="str">
        <f>IF(LEN(D450)&lt;256,"OK","Fehler")</f>
        <v>OK</v>
      </c>
      <c r="I450" s="65" t="str">
        <f>IF(LEN(E450)&lt;256,"OK","Fehler")</f>
        <v>OK</v>
      </c>
      <c r="J450" s="65" t="str">
        <f>IF(LEN(F450)&lt;256,"OK","Fehler")</f>
        <v>OK</v>
      </c>
      <c r="K450" s="65" t="str">
        <f>IF(LEN(G450)&lt;256,"OK","Fehler")</f>
        <v>OK</v>
      </c>
    </row>
    <row r="451" spans="1:11">
      <c r="A451" s="63">
        <v>2</v>
      </c>
      <c r="B451" s="34" t="s">
        <v>2330</v>
      </c>
      <c r="C451" s="34" t="str">
        <f t="shared" si="14"/>
        <v>Surface de plancher</v>
      </c>
      <c r="D451" s="8" t="s">
        <v>178</v>
      </c>
      <c r="E451" s="8" t="s">
        <v>1271</v>
      </c>
      <c r="F451" s="8" t="s">
        <v>1040</v>
      </c>
      <c r="G451" s="8" t="s">
        <v>1372</v>
      </c>
      <c r="H451" s="65" t="str">
        <f>IF(LEN(D451)&lt;33,"OK","Fehler")</f>
        <v>OK</v>
      </c>
      <c r="I451" s="65" t="str">
        <f>IF(LEN(E451)&lt;33,"OK","Fehler")</f>
        <v>OK</v>
      </c>
      <c r="J451" s="65" t="str">
        <f>IF(LEN(F451)&lt;33,"OK","Fehler")</f>
        <v>OK</v>
      </c>
      <c r="K451" s="65" t="str">
        <f>IF(LEN(G451)&lt;33,"OK","Fehler")</f>
        <v>OK</v>
      </c>
    </row>
    <row r="452" spans="1:11">
      <c r="A452" s="63"/>
      <c r="B452" s="34"/>
      <c r="C452" s="34" t="str">
        <f t="shared" si="14"/>
        <v>Saisir la surface de plancher (y compris surfaces non chauffées du bâtiment).</v>
      </c>
      <c r="D452" s="8" t="s">
        <v>424</v>
      </c>
      <c r="E452" s="8" t="s">
        <v>1272</v>
      </c>
      <c r="F452" s="8" t="s">
        <v>1041</v>
      </c>
      <c r="G452" s="8" t="s">
        <v>1373</v>
      </c>
      <c r="H452" s="65" t="str">
        <f>IF(LEN(D452)&lt;256,"OK","Fehler")</f>
        <v>OK</v>
      </c>
      <c r="I452" s="65" t="str">
        <f>IF(LEN(E452)&lt;256,"OK","Fehler")</f>
        <v>OK</v>
      </c>
      <c r="J452" s="65" t="str">
        <f>IF(LEN(F452)&lt;256,"OK","Fehler")</f>
        <v>OK</v>
      </c>
      <c r="K452" s="65" t="str">
        <f>IF(LEN(G452)&lt;256,"OK","Fehler")</f>
        <v>OK</v>
      </c>
    </row>
    <row r="453" spans="1:11">
      <c r="A453" s="63"/>
      <c r="B453" s="34"/>
      <c r="C453" s="34" t="str">
        <f t="shared" si="14"/>
        <v>Erreur</v>
      </c>
      <c r="D453" s="8" t="s">
        <v>115</v>
      </c>
      <c r="E453" s="8" t="s">
        <v>130</v>
      </c>
      <c r="F453" s="8" t="s">
        <v>119</v>
      </c>
      <c r="G453" s="8" t="s">
        <v>126</v>
      </c>
      <c r="H453" s="65" t="str">
        <f>IF(LEN(D453)&lt;33,"OK","Fehler")</f>
        <v>OK</v>
      </c>
      <c r="I453" s="65" t="str">
        <f>IF(LEN(E453)&lt;33,"OK","Fehler")</f>
        <v>OK</v>
      </c>
      <c r="J453" s="65" t="str">
        <f>IF(LEN(F453)&lt;33,"OK","Fehler")</f>
        <v>OK</v>
      </c>
      <c r="K453" s="65" t="str">
        <f>IF(LEN(G453)&lt;33,"OK","Fehler")</f>
        <v>OK</v>
      </c>
    </row>
    <row r="454" spans="1:11">
      <c r="A454" s="63"/>
      <c r="B454" s="34"/>
      <c r="C454" s="34" t="str">
        <f t="shared" si="14"/>
        <v>Valeurs entre 0 et 300'000 requises.</v>
      </c>
      <c r="D454" s="8" t="s">
        <v>425</v>
      </c>
      <c r="E454" s="8" t="s">
        <v>1273</v>
      </c>
      <c r="F454" s="8" t="s">
        <v>1042</v>
      </c>
      <c r="G454" s="8" t="s">
        <v>1374</v>
      </c>
      <c r="H454" s="65" t="str">
        <f>IF(LEN(D454)&lt;256,"OK","Fehler")</f>
        <v>OK</v>
      </c>
      <c r="I454" s="65" t="str">
        <f>IF(LEN(E454)&lt;256,"OK","Fehler")</f>
        <v>OK</v>
      </c>
      <c r="J454" s="65" t="str">
        <f>IF(LEN(F454)&lt;256,"OK","Fehler")</f>
        <v>OK</v>
      </c>
      <c r="K454" s="65" t="str">
        <f>IF(LEN(G454)&lt;256,"OK","Fehler")</f>
        <v>OK</v>
      </c>
    </row>
    <row r="455" spans="1:11">
      <c r="A455" s="63">
        <v>2</v>
      </c>
      <c r="B455" s="34" t="s">
        <v>2331</v>
      </c>
      <c r="C455" s="34" t="str">
        <f t="shared" si="14"/>
        <v>Surface plancher sous-sols</v>
      </c>
      <c r="D455" s="8" t="s">
        <v>1636</v>
      </c>
      <c r="E455" s="8" t="s">
        <v>1637</v>
      </c>
      <c r="F455" s="8" t="s">
        <v>1043</v>
      </c>
      <c r="G455" s="8" t="s">
        <v>1375</v>
      </c>
      <c r="H455" s="65" t="str">
        <f>IF(LEN(D455)&lt;33,"OK","Fehler")</f>
        <v>OK</v>
      </c>
      <c r="I455" s="65" t="str">
        <f>IF(LEN(E455)&lt;33,"OK","Fehler")</f>
        <v>OK</v>
      </c>
      <c r="J455" s="65" t="str">
        <f>IF(LEN(F455)&lt;33,"OK","Fehler")</f>
        <v>OK</v>
      </c>
      <c r="K455" s="65" t="str">
        <f>IF(LEN(G455)&lt;33,"OK","Fehler")</f>
        <v>OK</v>
      </c>
    </row>
    <row r="456" spans="1:11">
      <c r="A456" s="63"/>
      <c r="B456" s="34"/>
      <c r="C456" s="34" t="str">
        <f t="shared" si="14"/>
        <v>Saisir la surface de plancher des sous-sol.</v>
      </c>
      <c r="D456" s="8" t="s">
        <v>426</v>
      </c>
      <c r="E456" s="8" t="s">
        <v>1274</v>
      </c>
      <c r="F456" s="8" t="s">
        <v>1044</v>
      </c>
      <c r="G456" s="8" t="s">
        <v>1376</v>
      </c>
      <c r="H456" s="65" t="str">
        <f>IF(LEN(D456)&lt;256,"OK","Fehler")</f>
        <v>OK</v>
      </c>
      <c r="I456" s="65" t="str">
        <f>IF(LEN(E456)&lt;256,"OK","Fehler")</f>
        <v>OK</v>
      </c>
      <c r="J456" s="65" t="str">
        <f>IF(LEN(F456)&lt;256,"OK","Fehler")</f>
        <v>OK</v>
      </c>
      <c r="K456" s="65" t="str">
        <f>IF(LEN(G456)&lt;256,"OK","Fehler")</f>
        <v>OK</v>
      </c>
    </row>
    <row r="457" spans="1:11">
      <c r="A457" s="63"/>
      <c r="B457" s="34"/>
      <c r="C457" s="34" t="str">
        <f t="shared" si="14"/>
        <v>Erreur</v>
      </c>
      <c r="D457" s="8" t="s">
        <v>115</v>
      </c>
      <c r="E457" s="8" t="s">
        <v>130</v>
      </c>
      <c r="F457" s="8" t="s">
        <v>119</v>
      </c>
      <c r="G457" s="8" t="s">
        <v>126</v>
      </c>
      <c r="H457" s="65" t="str">
        <f>IF(LEN(D457)&lt;33,"OK","Fehler")</f>
        <v>OK</v>
      </c>
      <c r="I457" s="65" t="str">
        <f>IF(LEN(E457)&lt;33,"OK","Fehler")</f>
        <v>OK</v>
      </c>
      <c r="J457" s="65" t="str">
        <f>IF(LEN(F457)&lt;33,"OK","Fehler")</f>
        <v>OK</v>
      </c>
      <c r="K457" s="65" t="str">
        <f>IF(LEN(G457)&lt;33,"OK","Fehler")</f>
        <v>OK</v>
      </c>
    </row>
    <row r="458" spans="1:11">
      <c r="A458" s="63"/>
      <c r="B458" s="34"/>
      <c r="C458" s="34" t="str">
        <f t="shared" si="14"/>
        <v>Valeurs requises entre 0 et la surface de plancher.</v>
      </c>
      <c r="D458" s="8" t="s">
        <v>427</v>
      </c>
      <c r="E458" s="8" t="s">
        <v>1275</v>
      </c>
      <c r="F458" s="8" t="s">
        <v>1045</v>
      </c>
      <c r="G458" s="8" t="s">
        <v>1377</v>
      </c>
      <c r="H458" s="65" t="str">
        <f>IF(LEN(D458)&lt;256,"OK","Fehler")</f>
        <v>OK</v>
      </c>
      <c r="I458" s="65" t="str">
        <f>IF(LEN(E458)&lt;256,"OK","Fehler")</f>
        <v>OK</v>
      </c>
      <c r="J458" s="65" t="str">
        <f>IF(LEN(F458)&lt;256,"OK","Fehler")</f>
        <v>OK</v>
      </c>
      <c r="K458" s="65" t="str">
        <f>IF(LEN(G458)&lt;256,"OK","Fehler")</f>
        <v>OK</v>
      </c>
    </row>
    <row r="459" spans="1:11">
      <c r="A459" s="63">
        <v>2</v>
      </c>
      <c r="B459" s="34" t="s">
        <v>2332</v>
      </c>
      <c r="C459" s="34" t="str">
        <f t="shared" si="14"/>
        <v>Etages enterrés</v>
      </c>
      <c r="D459" s="8" t="s">
        <v>428</v>
      </c>
      <c r="E459" s="8" t="s">
        <v>1276</v>
      </c>
      <c r="F459" s="8" t="s">
        <v>1046</v>
      </c>
      <c r="G459" s="8" t="s">
        <v>1378</v>
      </c>
      <c r="H459" s="65" t="str">
        <f>IF(LEN(D459)&lt;33,"OK","Fehler")</f>
        <v>OK</v>
      </c>
      <c r="I459" s="65" t="str">
        <f>IF(LEN(E459)&lt;33,"OK","Fehler")</f>
        <v>OK</v>
      </c>
      <c r="J459" s="65" t="str">
        <f>IF(LEN(F459)&lt;33,"OK","Fehler")</f>
        <v>OK</v>
      </c>
      <c r="K459" s="65" t="str">
        <f>IF(LEN(G459)&lt;33,"OK","Fehler")</f>
        <v>OK</v>
      </c>
    </row>
    <row r="460" spans="1:11">
      <c r="A460" s="63"/>
      <c r="B460" s="34"/>
      <c r="C460" s="34" t="str">
        <f t="shared" si="14"/>
        <v>Saisir le nombre d'étages enterrés (décimales admises).</v>
      </c>
      <c r="D460" s="8" t="s">
        <v>429</v>
      </c>
      <c r="E460" s="8" t="s">
        <v>1277</v>
      </c>
      <c r="F460" s="8" t="s">
        <v>1047</v>
      </c>
      <c r="G460" s="8" t="s">
        <v>1379</v>
      </c>
      <c r="H460" s="65" t="str">
        <f>IF(LEN(D460)&lt;256,"OK","Fehler")</f>
        <v>OK</v>
      </c>
      <c r="I460" s="65" t="str">
        <f>IF(LEN(E460)&lt;256,"OK","Fehler")</f>
        <v>OK</v>
      </c>
      <c r="J460" s="65" t="str">
        <f>IF(LEN(F460)&lt;256,"OK","Fehler")</f>
        <v>OK</v>
      </c>
      <c r="K460" s="65" t="str">
        <f>IF(LEN(G460)&lt;256,"OK","Fehler")</f>
        <v>OK</v>
      </c>
    </row>
    <row r="461" spans="1:11">
      <c r="A461" s="63"/>
      <c r="B461" s="34"/>
      <c r="C461" s="34" t="str">
        <f t="shared" si="14"/>
        <v>Erreur</v>
      </c>
      <c r="D461" s="8" t="s">
        <v>115</v>
      </c>
      <c r="E461" s="8" t="s">
        <v>130</v>
      </c>
      <c r="F461" s="8" t="s">
        <v>119</v>
      </c>
      <c r="G461" s="8" t="s">
        <v>126</v>
      </c>
      <c r="H461" s="65" t="str">
        <f>IF(LEN(D461)&lt;33,"OK","Fehler")</f>
        <v>OK</v>
      </c>
      <c r="I461" s="65" t="str">
        <f>IF(LEN(E461)&lt;33,"OK","Fehler")</f>
        <v>OK</v>
      </c>
      <c r="J461" s="65" t="str">
        <f>IF(LEN(F461)&lt;33,"OK","Fehler")</f>
        <v>OK</v>
      </c>
      <c r="K461" s="65" t="str">
        <f>IF(LEN(G461)&lt;33,"OK","Fehler")</f>
        <v>OK</v>
      </c>
    </row>
    <row r="462" spans="1:11">
      <c r="A462" s="63"/>
      <c r="B462" s="34"/>
      <c r="C462" s="34" t="str">
        <f t="shared" si="14"/>
        <v>Valeurs entre 0 et 10 requises.</v>
      </c>
      <c r="D462" s="8" t="s">
        <v>430</v>
      </c>
      <c r="E462" s="8" t="s">
        <v>1278</v>
      </c>
      <c r="F462" s="8" t="s">
        <v>1048</v>
      </c>
      <c r="G462" s="8" t="s">
        <v>1380</v>
      </c>
      <c r="H462" s="65" t="str">
        <f>IF(LEN(D462)&lt;256,"OK","Fehler")</f>
        <v>OK</v>
      </c>
      <c r="I462" s="65" t="str">
        <f>IF(LEN(E462)&lt;256,"OK","Fehler")</f>
        <v>OK</v>
      </c>
      <c r="J462" s="65" t="str">
        <f>IF(LEN(F462)&lt;256,"OK","Fehler")</f>
        <v>OK</v>
      </c>
      <c r="K462" s="65" t="str">
        <f>IF(LEN(G462)&lt;256,"OK","Fehler")</f>
        <v>OK</v>
      </c>
    </row>
    <row r="463" spans="1:11">
      <c r="A463" s="63">
        <v>2</v>
      </c>
      <c r="B463" s="34" t="s">
        <v>2333</v>
      </c>
      <c r="C463" s="34" t="str">
        <f t="shared" si="14"/>
        <v>Installation solaire thermique</v>
      </c>
      <c r="D463" s="8" t="s">
        <v>431</v>
      </c>
      <c r="E463" s="8" t="s">
        <v>1279</v>
      </c>
      <c r="F463" s="8" t="s">
        <v>1049</v>
      </c>
      <c r="G463" s="8" t="s">
        <v>1381</v>
      </c>
      <c r="H463" s="65" t="str">
        <f>IF(LEN(D463)&lt;33,"OK","Fehler")</f>
        <v>OK</v>
      </c>
      <c r="I463" s="65" t="str">
        <f>IF(LEN(E463)&lt;33,"OK","Fehler")</f>
        <v>OK</v>
      </c>
      <c r="J463" s="65" t="str">
        <f>IF(LEN(F463)&lt;33,"OK","Fehler")</f>
        <v>OK</v>
      </c>
      <c r="K463" s="65" t="str">
        <f>IF(LEN(G463)&lt;33,"OK","Fehler")</f>
        <v>OK</v>
      </c>
    </row>
    <row r="464" spans="1:11">
      <c r="A464" s="63"/>
      <c r="B464" s="34"/>
      <c r="C464" s="34" t="str">
        <f t="shared" si="14"/>
        <v>Saisir la surface nette des absorbeurs.</v>
      </c>
      <c r="D464" s="8" t="s">
        <v>432</v>
      </c>
      <c r="E464" s="8" t="s">
        <v>1280</v>
      </c>
      <c r="F464" s="8" t="s">
        <v>1050</v>
      </c>
      <c r="G464" s="8" t="s">
        <v>1382</v>
      </c>
      <c r="H464" s="65" t="str">
        <f>IF(LEN(D464)&lt;256,"OK","Fehler")</f>
        <v>OK</v>
      </c>
      <c r="I464" s="65" t="str">
        <f>IF(LEN(E464)&lt;256,"OK","Fehler")</f>
        <v>OK</v>
      </c>
      <c r="J464" s="65" t="str">
        <f>IF(LEN(F464)&lt;256,"OK","Fehler")</f>
        <v>OK</v>
      </c>
      <c r="K464" s="65" t="str">
        <f>IF(LEN(G464)&lt;256,"OK","Fehler")</f>
        <v>OK</v>
      </c>
    </row>
    <row r="465" spans="1:11">
      <c r="A465" s="63"/>
      <c r="B465" s="34"/>
      <c r="C465" s="34" t="str">
        <f t="shared" si="14"/>
        <v>Erreur</v>
      </c>
      <c r="D465" s="8" t="s">
        <v>115</v>
      </c>
      <c r="E465" s="8" t="s">
        <v>130</v>
      </c>
      <c r="F465" s="8" t="s">
        <v>119</v>
      </c>
      <c r="G465" s="8" t="s">
        <v>126</v>
      </c>
      <c r="H465" s="65" t="str">
        <f>IF(LEN(D465)&lt;33,"OK","Fehler")</f>
        <v>OK</v>
      </c>
      <c r="I465" s="65" t="str">
        <f>IF(LEN(E465)&lt;33,"OK","Fehler")</f>
        <v>OK</v>
      </c>
      <c r="J465" s="65" t="str">
        <f>IF(LEN(F465)&lt;33,"OK","Fehler")</f>
        <v>OK</v>
      </c>
      <c r="K465" s="65" t="str">
        <f>IF(LEN(G465)&lt;33,"OK","Fehler")</f>
        <v>OK</v>
      </c>
    </row>
    <row r="466" spans="1:11">
      <c r="A466" s="63"/>
      <c r="B466" s="34"/>
      <c r="C466" s="34" t="str">
        <f t="shared" si="14"/>
        <v>Saisir des valeurs entre 0 et la surface de plancher multipliée par 2.5.</v>
      </c>
      <c r="D466" s="8" t="s">
        <v>415</v>
      </c>
      <c r="E466" s="8" t="s">
        <v>1281</v>
      </c>
      <c r="F466" s="8" t="s">
        <v>1030</v>
      </c>
      <c r="G466" s="8" t="s">
        <v>1361</v>
      </c>
      <c r="H466" s="65" t="str">
        <f>IF(LEN(D466)&lt;256,"OK","Fehler")</f>
        <v>OK</v>
      </c>
      <c r="I466" s="65" t="str">
        <f>IF(LEN(E466)&lt;256,"OK","Fehler")</f>
        <v>OK</v>
      </c>
      <c r="J466" s="65" t="str">
        <f>IF(LEN(F466)&lt;256,"OK","Fehler")</f>
        <v>OK</v>
      </c>
      <c r="K466" s="65" t="str">
        <f>IF(LEN(G466)&lt;256,"OK","Fehler")</f>
        <v>OK</v>
      </c>
    </row>
    <row r="467" spans="1:11">
      <c r="A467" s="63">
        <v>2</v>
      </c>
      <c r="B467" s="34" t="s">
        <v>2334</v>
      </c>
      <c r="C467" s="34" t="str">
        <f t="shared" si="14"/>
        <v>Production de chaleur</v>
      </c>
      <c r="D467" s="8" t="s">
        <v>248</v>
      </c>
      <c r="E467" s="8" t="s">
        <v>1282</v>
      </c>
      <c r="F467" s="8" t="s">
        <v>1051</v>
      </c>
      <c r="G467" s="8" t="s">
        <v>1383</v>
      </c>
      <c r="H467" s="65" t="str">
        <f>IF(LEN(D467)&lt;33,"OK","Fehler")</f>
        <v>OK</v>
      </c>
      <c r="I467" s="65" t="str">
        <f>IF(LEN(E467)&lt;33,"OK","Fehler")</f>
        <v>OK</v>
      </c>
      <c r="J467" s="65" t="str">
        <f>IF(LEN(F467)&lt;33,"OK","Fehler")</f>
        <v>OK</v>
      </c>
      <c r="K467" s="65" t="str">
        <f>IF(LEN(G467)&lt;33,"OK","Fehler")</f>
        <v>OK</v>
      </c>
    </row>
    <row r="468" spans="1:11">
      <c r="A468" s="63"/>
      <c r="B468" s="34"/>
      <c r="C468" s="34" t="str">
        <f t="shared" si="14"/>
        <v>Sélectionner oui, si la production de chaleur est en majeure partie remplacée ou installée à neuf.</v>
      </c>
      <c r="D468" s="8" t="s">
        <v>433</v>
      </c>
      <c r="E468" s="8" t="s">
        <v>1283</v>
      </c>
      <c r="F468" s="8" t="s">
        <v>1052</v>
      </c>
      <c r="G468" s="8" t="s">
        <v>1384</v>
      </c>
      <c r="H468" s="65" t="str">
        <f>IF(LEN(D468)&lt;256,"OK","Fehler")</f>
        <v>OK</v>
      </c>
      <c r="I468" s="65" t="str">
        <f>IF(LEN(E468)&lt;256,"OK","Fehler")</f>
        <v>OK</v>
      </c>
      <c r="J468" s="65" t="str">
        <f>IF(LEN(F468)&lt;256,"OK","Fehler")</f>
        <v>OK</v>
      </c>
      <c r="K468" s="65" t="str">
        <f>IF(LEN(G468)&lt;256,"OK","Fehler")</f>
        <v>OK</v>
      </c>
    </row>
    <row r="469" spans="1:11">
      <c r="A469" s="63"/>
      <c r="B469" s="34"/>
      <c r="C469" s="34" t="str">
        <f t="shared" si="14"/>
        <v>Erreur</v>
      </c>
      <c r="D469" s="8" t="s">
        <v>115</v>
      </c>
      <c r="E469" s="8" t="s">
        <v>130</v>
      </c>
      <c r="F469" s="8" t="s">
        <v>119</v>
      </c>
      <c r="G469" s="8" t="s">
        <v>126</v>
      </c>
      <c r="H469" s="65" t="str">
        <f>IF(LEN(D469)&lt;33,"OK","Fehler")</f>
        <v>OK</v>
      </c>
      <c r="I469" s="65" t="str">
        <f>IF(LEN(E469)&lt;33,"OK","Fehler")</f>
        <v>OK</v>
      </c>
      <c r="J469" s="65" t="str">
        <f>IF(LEN(F469)&lt;33,"OK","Fehler")</f>
        <v>OK</v>
      </c>
      <c r="K469" s="65" t="str">
        <f>IF(LEN(G469)&lt;33,"OK","Fehler")</f>
        <v>OK</v>
      </c>
    </row>
    <row r="470" spans="1:11">
      <c r="A470" s="63"/>
      <c r="B470" s="34"/>
      <c r="C470" s="34" t="str">
        <f t="shared" si="14"/>
        <v>Sélectionner une entrée du menu déroulant.</v>
      </c>
      <c r="D470" s="8" t="s">
        <v>12</v>
      </c>
      <c r="E470" s="8" t="s">
        <v>1263</v>
      </c>
      <c r="F470" s="8" t="s">
        <v>1018</v>
      </c>
      <c r="G470" s="8" t="s">
        <v>1349</v>
      </c>
      <c r="H470" s="65" t="str">
        <f>IF(LEN(D470)&lt;256,"OK","Fehler")</f>
        <v>OK</v>
      </c>
      <c r="I470" s="65" t="str">
        <f>IF(LEN(E470)&lt;256,"OK","Fehler")</f>
        <v>OK</v>
      </c>
      <c r="J470" s="65" t="str">
        <f>IF(LEN(F470)&lt;256,"OK","Fehler")</f>
        <v>OK</v>
      </c>
      <c r="K470" s="65" t="str">
        <f>IF(LEN(G470)&lt;256,"OK","Fehler")</f>
        <v>OK</v>
      </c>
    </row>
    <row r="471" spans="1:11">
      <c r="A471" s="63">
        <v>2</v>
      </c>
      <c r="B471" s="34" t="s">
        <v>2335</v>
      </c>
      <c r="C471" s="34" t="str">
        <f t="shared" ref="C471:C498" si="15">INDEX($D471:$G471,1,MATCH(Sprachwahl,ListSprache,0))</f>
        <v>Diffusion de chaleur</v>
      </c>
      <c r="D471" s="8" t="s">
        <v>345</v>
      </c>
      <c r="E471" s="8" t="s">
        <v>1284</v>
      </c>
      <c r="F471" s="8" t="s">
        <v>1053</v>
      </c>
      <c r="G471" s="8" t="s">
        <v>1385</v>
      </c>
      <c r="H471" s="65" t="str">
        <f>IF(LEN(D471)&lt;33,"OK","Fehler")</f>
        <v>OK</v>
      </c>
      <c r="I471" s="65" t="str">
        <f>IF(LEN(E471)&lt;33,"OK","Fehler")</f>
        <v>OK</v>
      </c>
      <c r="J471" s="65" t="str">
        <f>IF(LEN(F471)&lt;33,"OK","Fehler")</f>
        <v>OK</v>
      </c>
      <c r="K471" s="65" t="str">
        <f>IF(LEN(G471)&lt;33,"OK","Fehler")</f>
        <v>OK</v>
      </c>
    </row>
    <row r="472" spans="1:11">
      <c r="A472" s="63"/>
      <c r="B472" s="34"/>
      <c r="C472" s="34" t="str">
        <f t="shared" si="15"/>
        <v>Sélectionner oui, si la diffusion de chaleur (corps de chauffe, etc.) est en majeure partie remplacée ou installée à neuf.</v>
      </c>
      <c r="D472" s="8" t="s">
        <v>434</v>
      </c>
      <c r="E472" s="8" t="s">
        <v>1285</v>
      </c>
      <c r="F472" s="8" t="s">
        <v>1054</v>
      </c>
      <c r="G472" s="8" t="s">
        <v>1386</v>
      </c>
      <c r="H472" s="65" t="str">
        <f>IF(LEN(D472)&lt;256,"OK","Fehler")</f>
        <v>OK</v>
      </c>
      <c r="I472" s="65" t="str">
        <f>IF(LEN(E472)&lt;256,"OK","Fehler")</f>
        <v>OK</v>
      </c>
      <c r="J472" s="65" t="str">
        <f>IF(LEN(F472)&lt;256,"OK","Fehler")</f>
        <v>OK</v>
      </c>
      <c r="K472" s="65" t="str">
        <f>IF(LEN(G472)&lt;256,"OK","Fehler")</f>
        <v>OK</v>
      </c>
    </row>
    <row r="473" spans="1:11">
      <c r="A473" s="63"/>
      <c r="B473" s="34"/>
      <c r="C473" s="34" t="str">
        <f t="shared" si="15"/>
        <v>Erreur</v>
      </c>
      <c r="D473" s="8" t="s">
        <v>115</v>
      </c>
      <c r="E473" s="8" t="s">
        <v>130</v>
      </c>
      <c r="F473" s="8" t="s">
        <v>119</v>
      </c>
      <c r="G473" s="8" t="s">
        <v>126</v>
      </c>
      <c r="H473" s="65" t="str">
        <f>IF(LEN(D473)&lt;33,"OK","Fehler")</f>
        <v>OK</v>
      </c>
      <c r="I473" s="65" t="str">
        <f>IF(LEN(E473)&lt;33,"OK","Fehler")</f>
        <v>OK</v>
      </c>
      <c r="J473" s="65" t="str">
        <f>IF(LEN(F473)&lt;33,"OK","Fehler")</f>
        <v>OK</v>
      </c>
      <c r="K473" s="65" t="str">
        <f>IF(LEN(G473)&lt;33,"OK","Fehler")</f>
        <v>OK</v>
      </c>
    </row>
    <row r="474" spans="1:11">
      <c r="A474" s="63"/>
      <c r="B474" s="34"/>
      <c r="C474" s="34" t="str">
        <f t="shared" si="15"/>
        <v>Sélectionner une entrée du menu déroulant.</v>
      </c>
      <c r="D474" s="8" t="s">
        <v>12</v>
      </c>
      <c r="E474" s="8" t="s">
        <v>1263</v>
      </c>
      <c r="F474" s="8" t="s">
        <v>1018</v>
      </c>
      <c r="G474" s="8" t="s">
        <v>1349</v>
      </c>
      <c r="H474" s="65" t="str">
        <f>IF(LEN(D474)&lt;256,"OK","Fehler")</f>
        <v>OK</v>
      </c>
      <c r="I474" s="65" t="str">
        <f>IF(LEN(E474)&lt;256,"OK","Fehler")</f>
        <v>OK</v>
      </c>
      <c r="J474" s="65" t="str">
        <f>IF(LEN(F474)&lt;256,"OK","Fehler")</f>
        <v>OK</v>
      </c>
      <c r="K474" s="65" t="str">
        <f>IF(LEN(G474)&lt;256,"OK","Fehler")</f>
        <v>OK</v>
      </c>
    </row>
    <row r="475" spans="1:11">
      <c r="A475" s="63">
        <v>2</v>
      </c>
      <c r="B475" s="34" t="s">
        <v>2336</v>
      </c>
      <c r="C475" s="34" t="str">
        <f t="shared" si="15"/>
        <v>Installations sanitaires</v>
      </c>
      <c r="D475" s="8" t="s">
        <v>342</v>
      </c>
      <c r="E475" s="8" t="s">
        <v>1286</v>
      </c>
      <c r="F475" s="8" t="s">
        <v>1055</v>
      </c>
      <c r="G475" s="8" t="s">
        <v>1387</v>
      </c>
      <c r="H475" s="65" t="str">
        <f>IF(LEN(D475)&lt;33,"OK","Fehler")</f>
        <v>OK</v>
      </c>
      <c r="I475" s="65" t="str">
        <f>IF(LEN(E475)&lt;33,"OK","Fehler")</f>
        <v>OK</v>
      </c>
      <c r="J475" s="65" t="str">
        <f>IF(LEN(F475)&lt;33,"OK","Fehler")</f>
        <v>OK</v>
      </c>
      <c r="K475" s="65" t="str">
        <f>IF(LEN(G475)&lt;33,"OK","Fehler")</f>
        <v>OK</v>
      </c>
    </row>
    <row r="476" spans="1:11">
      <c r="A476" s="63"/>
      <c r="B476" s="34"/>
      <c r="C476" s="34" t="str">
        <f t="shared" si="15"/>
        <v>Sélectionner oui, si les installations sanitaires sont en majeure partie remplacées ou installées à neuf.</v>
      </c>
      <c r="D476" s="8" t="s">
        <v>435</v>
      </c>
      <c r="E476" s="8" t="s">
        <v>1287</v>
      </c>
      <c r="F476" s="8" t="s">
        <v>1056</v>
      </c>
      <c r="G476" s="8" t="s">
        <v>1388</v>
      </c>
      <c r="H476" s="65" t="str">
        <f>IF(LEN(D476)&lt;256,"OK","Fehler")</f>
        <v>OK</v>
      </c>
      <c r="I476" s="65" t="str">
        <f>IF(LEN(E476)&lt;256,"OK","Fehler")</f>
        <v>OK</v>
      </c>
      <c r="J476" s="65" t="str">
        <f>IF(LEN(F476)&lt;256,"OK","Fehler")</f>
        <v>OK</v>
      </c>
      <c r="K476" s="65" t="str">
        <f>IF(LEN(G476)&lt;256,"OK","Fehler")</f>
        <v>OK</v>
      </c>
    </row>
    <row r="477" spans="1:11">
      <c r="A477" s="63"/>
      <c r="B477" s="34"/>
      <c r="C477" s="34" t="str">
        <f t="shared" si="15"/>
        <v>Erreur</v>
      </c>
      <c r="D477" s="8" t="s">
        <v>115</v>
      </c>
      <c r="E477" s="8" t="s">
        <v>130</v>
      </c>
      <c r="F477" s="8" t="s">
        <v>119</v>
      </c>
      <c r="G477" s="8" t="s">
        <v>126</v>
      </c>
      <c r="H477" s="65" t="str">
        <f>IF(LEN(D477)&lt;33,"OK","Fehler")</f>
        <v>OK</v>
      </c>
      <c r="I477" s="65" t="str">
        <f>IF(LEN(E477)&lt;33,"OK","Fehler")</f>
        <v>OK</v>
      </c>
      <c r="J477" s="65" t="str">
        <f>IF(LEN(F477)&lt;33,"OK","Fehler")</f>
        <v>OK</v>
      </c>
      <c r="K477" s="65" t="str">
        <f>IF(LEN(G477)&lt;33,"OK","Fehler")</f>
        <v>OK</v>
      </c>
    </row>
    <row r="478" spans="1:11">
      <c r="A478" s="63"/>
      <c r="B478" s="34"/>
      <c r="C478" s="34" t="str">
        <f t="shared" si="15"/>
        <v>Sélectionner une entrée du menu déroulant.</v>
      </c>
      <c r="D478" s="8" t="s">
        <v>12</v>
      </c>
      <c r="E478" s="8" t="s">
        <v>1263</v>
      </c>
      <c r="F478" s="8" t="s">
        <v>1018</v>
      </c>
      <c r="G478" s="8" t="s">
        <v>1349</v>
      </c>
      <c r="H478" s="65" t="str">
        <f>IF(LEN(D478)&lt;256,"OK","Fehler")</f>
        <v>OK</v>
      </c>
      <c r="I478" s="65" t="str">
        <f>IF(LEN(E478)&lt;256,"OK","Fehler")</f>
        <v>OK</v>
      </c>
      <c r="J478" s="65" t="str">
        <f>IF(LEN(F478)&lt;256,"OK","Fehler")</f>
        <v>OK</v>
      </c>
      <c r="K478" s="65" t="str">
        <f>IF(LEN(G478)&lt;256,"OK","Fehler")</f>
        <v>OK</v>
      </c>
    </row>
    <row r="479" spans="1:11">
      <c r="A479" s="63">
        <v>2</v>
      </c>
      <c r="B479" s="34" t="s">
        <v>402</v>
      </c>
      <c r="C479" s="34" t="str">
        <f t="shared" si="15"/>
        <v>eCCC-Bât</v>
      </c>
      <c r="D479" s="8" t="s">
        <v>179</v>
      </c>
      <c r="E479" s="8" t="s">
        <v>1288</v>
      </c>
      <c r="F479" s="8" t="s">
        <v>876</v>
      </c>
      <c r="G479" s="8" t="s">
        <v>179</v>
      </c>
      <c r="H479" s="65" t="str">
        <f>IF(LEN(D479)&lt;33,"OK","Fehler")</f>
        <v>OK</v>
      </c>
      <c r="I479" s="65" t="str">
        <f>IF(LEN(E479)&lt;33,"OK","Fehler")</f>
        <v>OK</v>
      </c>
      <c r="J479" s="65" t="str">
        <f>IF(LEN(F479)&lt;33,"OK","Fehler")</f>
        <v>OK</v>
      </c>
      <c r="K479" s="65" t="str">
        <f>IF(LEN(G479)&lt;33,"OK","Fehler")</f>
        <v>OK</v>
      </c>
    </row>
    <row r="480" spans="1:11">
      <c r="A480" s="63"/>
      <c r="B480" s="34"/>
      <c r="C480" s="34" t="str">
        <f t="shared" si="15"/>
        <v>Sélectionner la catégorie eCCC-Bât correspondante du menu déroulant.</v>
      </c>
      <c r="D480" s="8" t="s">
        <v>436</v>
      </c>
      <c r="E480" s="8" t="s">
        <v>1289</v>
      </c>
      <c r="F480" s="8" t="s">
        <v>1057</v>
      </c>
      <c r="G480" s="8" t="s">
        <v>1389</v>
      </c>
      <c r="H480" s="65" t="str">
        <f>IF(LEN(D480)&lt;256,"OK","Fehler")</f>
        <v>OK</v>
      </c>
      <c r="I480" s="65" t="str">
        <f>IF(LEN(E480)&lt;256,"OK","Fehler")</f>
        <v>OK</v>
      </c>
      <c r="J480" s="65" t="str">
        <f>IF(LEN(F480)&lt;256,"OK","Fehler")</f>
        <v>OK</v>
      </c>
      <c r="K480" s="65" t="str">
        <f>IF(LEN(G480)&lt;256,"OK","Fehler")</f>
        <v>OK</v>
      </c>
    </row>
    <row r="481" spans="1:11">
      <c r="A481" s="63"/>
      <c r="B481" s="34"/>
      <c r="C481" s="34" t="str">
        <f t="shared" si="15"/>
        <v>Erreur</v>
      </c>
      <c r="D481" s="8" t="s">
        <v>115</v>
      </c>
      <c r="E481" s="8" t="s">
        <v>130</v>
      </c>
      <c r="F481" s="8" t="s">
        <v>119</v>
      </c>
      <c r="G481" s="8" t="s">
        <v>126</v>
      </c>
      <c r="H481" s="65" t="str">
        <f>IF(LEN(D481)&lt;33,"OK","Fehler")</f>
        <v>OK</v>
      </c>
      <c r="I481" s="65" t="str">
        <f>IF(LEN(E481)&lt;33,"OK","Fehler")</f>
        <v>OK</v>
      </c>
      <c r="J481" s="65" t="str">
        <f>IF(LEN(F481)&lt;33,"OK","Fehler")</f>
        <v>OK</v>
      </c>
      <c r="K481" s="65" t="str">
        <f>IF(LEN(G481)&lt;33,"OK","Fehler")</f>
        <v>OK</v>
      </c>
    </row>
    <row r="482" spans="1:11">
      <c r="A482" s="63"/>
      <c r="B482" s="34"/>
      <c r="C482" s="34" t="str">
        <f t="shared" si="15"/>
        <v>Sélectionner une entrée du menu déroulant.</v>
      </c>
      <c r="D482" s="8" t="s">
        <v>12</v>
      </c>
      <c r="E482" s="8" t="s">
        <v>1263</v>
      </c>
      <c r="F482" s="8" t="s">
        <v>1018</v>
      </c>
      <c r="G482" s="8" t="s">
        <v>1349</v>
      </c>
      <c r="H482" s="65" t="str">
        <f>IF(LEN(D482)&lt;256,"OK","Fehler")</f>
        <v>OK</v>
      </c>
      <c r="I482" s="65" t="str">
        <f>IF(LEN(E482)&lt;256,"OK","Fehler")</f>
        <v>OK</v>
      </c>
      <c r="J482" s="65" t="str">
        <f>IF(LEN(F482)&lt;256,"OK","Fehler")</f>
        <v>OK</v>
      </c>
      <c r="K482" s="65" t="str">
        <f>IF(LEN(G482)&lt;256,"OK","Fehler")</f>
        <v>OK</v>
      </c>
    </row>
    <row r="483" spans="1:11">
      <c r="A483" s="63">
        <v>2</v>
      </c>
      <c r="B483" s="34" t="s">
        <v>1639</v>
      </c>
      <c r="C483" s="34" t="str">
        <f t="shared" si="15"/>
        <v>Elément de construction</v>
      </c>
      <c r="D483" s="8" t="s">
        <v>341</v>
      </c>
      <c r="E483" s="8" t="s">
        <v>1290</v>
      </c>
      <c r="F483" s="8" t="s">
        <v>1058</v>
      </c>
      <c r="G483" s="8" t="s">
        <v>1390</v>
      </c>
      <c r="H483" s="65" t="str">
        <f>IF(LEN(D483)&lt;33,"OK","Fehler")</f>
        <v>OK</v>
      </c>
      <c r="I483" s="65" t="str">
        <f>IF(LEN(E483)&lt;33,"OK","Fehler")</f>
        <v>OK</v>
      </c>
      <c r="J483" s="65" t="str">
        <f>IF(LEN(F483)&lt;33,"OK","Fehler")</f>
        <v>OK</v>
      </c>
      <c r="K483" s="65" t="str">
        <f>IF(LEN(G483)&lt;33,"OK","Fehler")</f>
        <v>OK</v>
      </c>
    </row>
    <row r="484" spans="1:11">
      <c r="A484" s="63"/>
      <c r="B484" s="34"/>
      <c r="C484" s="34" t="str">
        <f t="shared" si="15"/>
        <v>Sélectionnez un élément de construction du menu déroulant. Attention: si le champs a un fond jaune, sélectionner l'élément de construction encore une fois.</v>
      </c>
      <c r="D484" s="8" t="s">
        <v>1660</v>
      </c>
      <c r="E484" s="8" t="s">
        <v>1661</v>
      </c>
      <c r="F484" s="8" t="s">
        <v>1062</v>
      </c>
      <c r="G484" s="8" t="s">
        <v>2404</v>
      </c>
      <c r="H484" s="65" t="str">
        <f>IF(LEN(D484)&lt;256,"OK","Fehler")</f>
        <v>OK</v>
      </c>
      <c r="I484" s="65" t="str">
        <f>IF(LEN(E484)&lt;256,"OK","Fehler")</f>
        <v>OK</v>
      </c>
      <c r="J484" s="65" t="str">
        <f>IF(LEN(F484)&lt;256,"OK","Fehler")</f>
        <v>OK</v>
      </c>
      <c r="K484" s="65" t="str">
        <f>IF(LEN(G484)&lt;256,"OK","Fehler")</f>
        <v>OK</v>
      </c>
    </row>
    <row r="485" spans="1:11">
      <c r="A485" s="63"/>
      <c r="B485" s="34"/>
      <c r="C485" s="34" t="str">
        <f t="shared" si="15"/>
        <v>Erreur</v>
      </c>
      <c r="D485" s="8" t="s">
        <v>115</v>
      </c>
      <c r="E485" s="8" t="s">
        <v>130</v>
      </c>
      <c r="F485" s="8" t="s">
        <v>119</v>
      </c>
      <c r="G485" s="8" t="s">
        <v>126</v>
      </c>
      <c r="H485" s="65" t="str">
        <f>IF(LEN(D485)&lt;33,"OK","Fehler")</f>
        <v>OK</v>
      </c>
      <c r="I485" s="65" t="str">
        <f>IF(LEN(E485)&lt;33,"OK","Fehler")</f>
        <v>OK</v>
      </c>
      <c r="J485" s="65" t="str">
        <f>IF(LEN(F485)&lt;33,"OK","Fehler")</f>
        <v>OK</v>
      </c>
      <c r="K485" s="65" t="str">
        <f>IF(LEN(G485)&lt;33,"OK","Fehler")</f>
        <v>OK</v>
      </c>
    </row>
    <row r="486" spans="1:11">
      <c r="A486" s="63"/>
      <c r="B486" s="34"/>
      <c r="C486" s="34" t="str">
        <f t="shared" si="15"/>
        <v>Sélectionner une entrée du menu déroulant.</v>
      </c>
      <c r="D486" s="8" t="s">
        <v>12</v>
      </c>
      <c r="E486" s="8" t="s">
        <v>1247</v>
      </c>
      <c r="F486" s="8" t="s">
        <v>120</v>
      </c>
      <c r="G486" s="8" t="s">
        <v>132</v>
      </c>
      <c r="H486" s="65" t="str">
        <f>IF(LEN(D486)&lt;256,"OK","Fehler")</f>
        <v>OK</v>
      </c>
      <c r="I486" s="65" t="str">
        <f>IF(LEN(E486)&lt;256,"OK","Fehler")</f>
        <v>OK</v>
      </c>
      <c r="J486" s="65" t="str">
        <f>IF(LEN(F486)&lt;256,"OK","Fehler")</f>
        <v>OK</v>
      </c>
      <c r="K486" s="65" t="str">
        <f>IF(LEN(G486)&lt;256,"OK","Fehler")</f>
        <v>OK</v>
      </c>
    </row>
    <row r="487" spans="1:11">
      <c r="A487" s="63">
        <v>2</v>
      </c>
      <c r="B487" s="34" t="s">
        <v>403</v>
      </c>
      <c r="C487" s="34" t="str">
        <f t="shared" si="15"/>
        <v>Standard énergétique</v>
      </c>
      <c r="D487" s="8" t="s">
        <v>217</v>
      </c>
      <c r="E487" s="8" t="s">
        <v>1100</v>
      </c>
      <c r="F487" s="8" t="s">
        <v>878</v>
      </c>
      <c r="G487" s="8" t="s">
        <v>1347</v>
      </c>
      <c r="H487" s="65" t="str">
        <f>IF(LEN(D487)&lt;33,"OK","Fehler")</f>
        <v>OK</v>
      </c>
      <c r="I487" s="65" t="str">
        <f>IF(LEN(E487)&lt;33,"OK","Fehler")</f>
        <v>OK</v>
      </c>
      <c r="J487" s="65" t="str">
        <f>IF(LEN(F487)&lt;33,"OK","Fehler")</f>
        <v>OK</v>
      </c>
      <c r="K487" s="65" t="str">
        <f>IF(LEN(G487)&lt;33,"OK","Fehler")</f>
        <v>OK</v>
      </c>
    </row>
    <row r="488" spans="1:11">
      <c r="A488" s="63"/>
      <c r="B488" s="34"/>
      <c r="C488" s="34" t="str">
        <f t="shared" si="15"/>
        <v>Sélectionner un standard énergétique du menu déroulant.</v>
      </c>
      <c r="D488" s="8" t="s">
        <v>437</v>
      </c>
      <c r="E488" s="8" t="s">
        <v>1291</v>
      </c>
      <c r="F488" s="8" t="s">
        <v>1059</v>
      </c>
      <c r="G488" s="8" t="s">
        <v>1391</v>
      </c>
      <c r="H488" s="65" t="str">
        <f>IF(LEN(D488)&lt;256,"OK","Fehler")</f>
        <v>OK</v>
      </c>
      <c r="I488" s="65" t="str">
        <f>IF(LEN(E488)&lt;256,"OK","Fehler")</f>
        <v>OK</v>
      </c>
      <c r="J488" s="65" t="str">
        <f>IF(LEN(F488)&lt;256,"OK","Fehler")</f>
        <v>OK</v>
      </c>
      <c r="K488" s="65" t="str">
        <f>IF(LEN(G488)&lt;256,"OK","Fehler")</f>
        <v>OK</v>
      </c>
    </row>
    <row r="489" spans="1:11">
      <c r="A489" s="63"/>
      <c r="B489" s="34"/>
      <c r="C489" s="34" t="str">
        <f t="shared" si="15"/>
        <v>Erreur</v>
      </c>
      <c r="D489" s="8" t="s">
        <v>115</v>
      </c>
      <c r="E489" s="8" t="s">
        <v>130</v>
      </c>
      <c r="F489" s="8" t="s">
        <v>119</v>
      </c>
      <c r="G489" s="8" t="s">
        <v>126</v>
      </c>
      <c r="H489" s="65" t="str">
        <f>IF(LEN(D489)&lt;33,"OK","Fehler")</f>
        <v>OK</v>
      </c>
      <c r="I489" s="65" t="str">
        <f>IF(LEN(E489)&lt;33,"OK","Fehler")</f>
        <v>OK</v>
      </c>
      <c r="J489" s="65" t="str">
        <f>IF(LEN(F489)&lt;33,"OK","Fehler")</f>
        <v>OK</v>
      </c>
      <c r="K489" s="65" t="str">
        <f>IF(LEN(G489)&lt;33,"OK","Fehler")</f>
        <v>OK</v>
      </c>
    </row>
    <row r="490" spans="1:11">
      <c r="A490" s="63"/>
      <c r="B490" s="34"/>
      <c r="C490" s="34" t="str">
        <f t="shared" si="15"/>
        <v>Sélectionner une entrée du menu déroulant.</v>
      </c>
      <c r="D490" s="8" t="s">
        <v>12</v>
      </c>
      <c r="E490" s="8" t="s">
        <v>1263</v>
      </c>
      <c r="F490" s="8" t="s">
        <v>120</v>
      </c>
      <c r="G490" s="8" t="s">
        <v>1349</v>
      </c>
      <c r="H490" s="65" t="str">
        <f>IF(LEN(D490)&lt;256,"OK","Fehler")</f>
        <v>OK</v>
      </c>
      <c r="I490" s="65" t="str">
        <f>IF(LEN(E490)&lt;256,"OK","Fehler")</f>
        <v>OK</v>
      </c>
      <c r="J490" s="65" t="str">
        <f>IF(LEN(F490)&lt;256,"OK","Fehler")</f>
        <v>OK</v>
      </c>
      <c r="K490" s="65" t="str">
        <f>IF(LEN(G490)&lt;256,"OK","Fehler")</f>
        <v>OK</v>
      </c>
    </row>
    <row r="491" spans="1:11">
      <c r="A491" s="63">
        <v>2</v>
      </c>
      <c r="B491" s="34" t="s">
        <v>404</v>
      </c>
      <c r="C491" s="34" t="str">
        <f t="shared" si="15"/>
        <v>Surface</v>
      </c>
      <c r="D491" s="8" t="s">
        <v>112</v>
      </c>
      <c r="E491" s="8" t="s">
        <v>131</v>
      </c>
      <c r="F491" s="8" t="s">
        <v>121</v>
      </c>
      <c r="G491" s="8" t="s">
        <v>133</v>
      </c>
      <c r="H491" s="65" t="str">
        <f>IF(LEN(D491)&lt;33,"OK","Fehler")</f>
        <v>OK</v>
      </c>
      <c r="I491" s="65" t="str">
        <f>IF(LEN(E491)&lt;33,"OK","Fehler")</f>
        <v>OK</v>
      </c>
      <c r="J491" s="65" t="str">
        <f>IF(LEN(F491)&lt;33,"OK","Fehler")</f>
        <v>OK</v>
      </c>
      <c r="K491" s="65" t="str">
        <f>IF(LEN(G491)&lt;33,"OK","Fehler")</f>
        <v>OK</v>
      </c>
    </row>
    <row r="492" spans="1:11">
      <c r="A492" s="63"/>
      <c r="B492" s="34"/>
      <c r="C492" s="34" t="str">
        <f t="shared" si="15"/>
        <v>Saisir la surface de l'élément de construction. Ne pas saisir de valeurs dans les champs sur fond rouge (calculation automatique).</v>
      </c>
      <c r="D492" s="8" t="s">
        <v>752</v>
      </c>
      <c r="E492" s="8" t="s">
        <v>1292</v>
      </c>
      <c r="F492" s="60" t="s">
        <v>1060</v>
      </c>
      <c r="G492" s="8" t="s">
        <v>1392</v>
      </c>
      <c r="H492" s="65" t="str">
        <f>IF(LEN(D492)&lt;256,"OK","Fehler")</f>
        <v>OK</v>
      </c>
      <c r="I492" s="65" t="str">
        <f>IF(LEN(E492)&lt;256,"OK","Fehler")</f>
        <v>OK</v>
      </c>
      <c r="J492" s="65" t="str">
        <f>IF(LEN(F492)&lt;256,"OK","Fehler")</f>
        <v>OK</v>
      </c>
      <c r="K492" s="65" t="str">
        <f>IF(LEN(G492)&lt;256,"OK","Fehler")</f>
        <v>OK</v>
      </c>
    </row>
    <row r="493" spans="1:11">
      <c r="A493" s="63"/>
      <c r="B493" s="34"/>
      <c r="C493" s="34" t="str">
        <f t="shared" si="15"/>
        <v>Erreur</v>
      </c>
      <c r="D493" s="8" t="s">
        <v>115</v>
      </c>
      <c r="E493" s="8" t="s">
        <v>130</v>
      </c>
      <c r="F493" s="8" t="s">
        <v>119</v>
      </c>
      <c r="G493" s="8" t="s">
        <v>126</v>
      </c>
      <c r="H493" s="65" t="str">
        <f>IF(LEN(D493)&lt;33,"OK","Fehler")</f>
        <v>OK</v>
      </c>
      <c r="I493" s="65" t="str">
        <f>IF(LEN(E493)&lt;33,"OK","Fehler")</f>
        <v>OK</v>
      </c>
      <c r="J493" s="65" t="str">
        <f>IF(LEN(F493)&lt;33,"OK","Fehler")</f>
        <v>OK</v>
      </c>
      <c r="K493" s="65" t="str">
        <f>IF(LEN(G493)&lt;33,"OK","Fehler")</f>
        <v>OK</v>
      </c>
    </row>
    <row r="494" spans="1:11">
      <c r="A494" s="63"/>
      <c r="B494" s="34"/>
      <c r="C494" s="34" t="str">
        <f t="shared" si="15"/>
        <v>Saisir des valeurs entières entre 0 et 99'999.</v>
      </c>
      <c r="D494" s="8" t="s">
        <v>438</v>
      </c>
      <c r="E494" s="8" t="s">
        <v>1293</v>
      </c>
      <c r="F494" s="8" t="s">
        <v>1061</v>
      </c>
      <c r="G494" s="8" t="s">
        <v>439</v>
      </c>
      <c r="H494" s="65" t="str">
        <f>IF(LEN(D494)&lt;256,"OK","Fehler")</f>
        <v>OK</v>
      </c>
      <c r="I494" s="65" t="str">
        <f>IF(LEN(E494)&lt;256,"OK","Fehler")</f>
        <v>OK</v>
      </c>
      <c r="J494" s="65" t="str">
        <f>IF(LEN(F494)&lt;256,"OK","Fehler")</f>
        <v>OK</v>
      </c>
      <c r="K494" s="65" t="str">
        <f>IF(LEN(G494)&lt;256,"OK","Fehler")</f>
        <v>OK</v>
      </c>
    </row>
    <row r="495" spans="1:11">
      <c r="A495" s="63">
        <v>2</v>
      </c>
      <c r="B495" s="34" t="s">
        <v>1807</v>
      </c>
      <c r="C495" s="34" t="str">
        <f t="shared" si="15"/>
        <v>Lien</v>
      </c>
      <c r="D495" s="8" t="s">
        <v>185</v>
      </c>
      <c r="E495" s="8" t="s">
        <v>1811</v>
      </c>
      <c r="F495" s="8" t="s">
        <v>185</v>
      </c>
      <c r="G495" s="8" t="s">
        <v>185</v>
      </c>
      <c r="H495" s="65" t="str">
        <f>IF(LEN(D495)&lt;33,"OK","Fehler")</f>
        <v>OK</v>
      </c>
      <c r="I495" s="65" t="str">
        <f>IF(LEN(E495)&lt;33,"OK","Fehler")</f>
        <v>OK</v>
      </c>
      <c r="J495" s="65" t="str">
        <f>IF(LEN(F495)&lt;33,"OK","Fehler")</f>
        <v>OK</v>
      </c>
      <c r="K495" s="65" t="str">
        <f>IF(LEN(G495)&lt;33,"OK","Fehler")</f>
        <v>OK</v>
      </c>
    </row>
    <row r="496" spans="1:11">
      <c r="A496" s="63"/>
      <c r="B496" s="34"/>
      <c r="C496" s="34" t="str">
        <f t="shared" si="15"/>
        <v>Cliquez sur le lien pour en savoir plus sur le composant sélectionné.</v>
      </c>
      <c r="D496" s="8" t="s">
        <v>1809</v>
      </c>
      <c r="E496" s="8" t="s">
        <v>1812</v>
      </c>
      <c r="F496" s="8" t="s">
        <v>1815</v>
      </c>
      <c r="G496" s="8" t="s">
        <v>1818</v>
      </c>
      <c r="H496" s="65" t="str">
        <f>IF(LEN(D496)&lt;256,"OK","Fehler")</f>
        <v>OK</v>
      </c>
      <c r="I496" s="65" t="str">
        <f>IF(LEN(E496)&lt;256,"OK","Fehler")</f>
        <v>OK</v>
      </c>
      <c r="J496" s="65" t="str">
        <f>IF(LEN(F496)&lt;256,"OK","Fehler")</f>
        <v>OK</v>
      </c>
      <c r="K496" s="65" t="str">
        <f>IF(LEN(G496)&lt;256,"OK","Fehler")</f>
        <v>OK</v>
      </c>
    </row>
    <row r="497" spans="1:11">
      <c r="A497" s="63"/>
      <c r="B497" s="34"/>
      <c r="C497" s="34" t="str">
        <f t="shared" si="15"/>
        <v>Aucun champ de saisie</v>
      </c>
      <c r="D497" s="8" t="s">
        <v>1810</v>
      </c>
      <c r="E497" s="8" t="s">
        <v>1813</v>
      </c>
      <c r="F497" s="8" t="s">
        <v>1816</v>
      </c>
      <c r="G497" s="8" t="s">
        <v>1819</v>
      </c>
      <c r="H497" s="65" t="str">
        <f>IF(LEN(D497)&lt;33,"OK","Fehler")</f>
        <v>OK</v>
      </c>
      <c r="I497" s="65" t="str">
        <f>IF(LEN(E497)&lt;33,"OK","Fehler")</f>
        <v>OK</v>
      </c>
      <c r="J497" s="65" t="str">
        <f>IF(LEN(F497)&lt;33,"OK","Fehler")</f>
        <v>OK</v>
      </c>
      <c r="K497" s="65" t="str">
        <f>IF(LEN(G497)&lt;33,"OK","Fehler")</f>
        <v>OK</v>
      </c>
    </row>
    <row r="498" spans="1:11">
      <c r="A498" s="63"/>
      <c r="B498" s="34"/>
      <c r="C498" s="34" t="str">
        <f t="shared" si="15"/>
        <v>Cette champ est utilisée pour afficher les liens et ne permet aucune entrée.</v>
      </c>
      <c r="D498" s="8" t="s">
        <v>1808</v>
      </c>
      <c r="E498" s="8" t="s">
        <v>1814</v>
      </c>
      <c r="F498" s="8" t="s">
        <v>1817</v>
      </c>
      <c r="G498" s="8" t="s">
        <v>1820</v>
      </c>
      <c r="H498" s="65" t="str">
        <f>IF(LEN(D498)&lt;256,"OK","Fehler")</f>
        <v>OK</v>
      </c>
      <c r="I498" s="65" t="str">
        <f>IF(LEN(E498)&lt;256,"OK","Fehler")</f>
        <v>OK</v>
      </c>
      <c r="J498" s="65" t="str">
        <f>IF(LEN(F498)&lt;256,"OK","Fehler")</f>
        <v>OK</v>
      </c>
      <c r="K498" s="65" t="str">
        <f>IF(LEN(G498)&lt;256,"OK","Fehler")</f>
        <v>OK</v>
      </c>
    </row>
    <row r="499" spans="1:11">
      <c r="A499" s="33"/>
      <c r="B499" s="34"/>
      <c r="C499" s="34"/>
      <c r="H499" s="65" t="str">
        <f>IF(LEN(D499)&lt;33,"OK","Fehler")</f>
        <v>OK</v>
      </c>
      <c r="I499" s="65" t="str">
        <f>IF(LEN(E499)&lt;33,"OK","Fehler")</f>
        <v>OK</v>
      </c>
      <c r="J499" s="65" t="str">
        <f>IF(LEN(F499)&lt;33,"OK","Fehler")</f>
        <v>OK</v>
      </c>
      <c r="K499" s="65" t="str">
        <f>IF(LEN(G499)&lt;33,"OK","Fehler")</f>
        <v>OK</v>
      </c>
    </row>
    <row r="500" spans="1:11">
      <c r="A500" s="33"/>
      <c r="B500" s="34"/>
      <c r="C500" s="34"/>
      <c r="H500" s="65" t="str">
        <f>IF(LEN(D500)&lt;256,"OK","Fehler")</f>
        <v>OK</v>
      </c>
      <c r="I500" s="65" t="str">
        <f>IF(LEN(E500)&lt;256,"OK","Fehler")</f>
        <v>OK</v>
      </c>
      <c r="J500" s="65" t="str">
        <f>IF(LEN(F500)&lt;256,"OK","Fehler")</f>
        <v>OK</v>
      </c>
      <c r="K500" s="65" t="str">
        <f>IF(LEN(G500)&lt;256,"OK","Fehler")</f>
        <v>OK</v>
      </c>
    </row>
    <row r="501" spans="1:11">
      <c r="A501" s="33"/>
      <c r="B501" s="34"/>
      <c r="C501" s="34"/>
      <c r="H501" s="65" t="str">
        <f>IF(LEN(D501)&lt;33,"OK","Fehler")</f>
        <v>OK</v>
      </c>
      <c r="I501" s="65" t="str">
        <f>IF(LEN(E501)&lt;33,"OK","Fehler")</f>
        <v>OK</v>
      </c>
      <c r="J501" s="65" t="str">
        <f>IF(LEN(F501)&lt;33,"OK","Fehler")</f>
        <v>OK</v>
      </c>
      <c r="K501" s="65" t="str">
        <f>IF(LEN(G501)&lt;33,"OK","Fehler")</f>
        <v>OK</v>
      </c>
    </row>
    <row r="502" spans="1:11">
      <c r="A502" s="33"/>
      <c r="B502" s="34"/>
      <c r="C502" s="34"/>
      <c r="H502" s="65" t="str">
        <f>IF(LEN(D502)&lt;256,"OK","Fehler")</f>
        <v>OK</v>
      </c>
      <c r="I502" s="65" t="str">
        <f>IF(LEN(E502)&lt;256,"OK","Fehler")</f>
        <v>OK</v>
      </c>
      <c r="J502" s="65" t="str">
        <f>IF(LEN(F502)&lt;256,"OK","Fehler")</f>
        <v>OK</v>
      </c>
      <c r="K502" s="65" t="str">
        <f>IF(LEN(G502)&lt;256,"OK","Fehler")</f>
        <v>OK</v>
      </c>
    </row>
    <row r="503" spans="1:11">
      <c r="A503" s="33"/>
      <c r="B503" s="34"/>
      <c r="C503" s="34"/>
      <c r="H503" s="65" t="str">
        <f>IF(LEN(D503)&lt;33,"OK","Fehler")</f>
        <v>OK</v>
      </c>
      <c r="I503" s="65" t="str">
        <f>IF(LEN(E503)&lt;33,"OK","Fehler")</f>
        <v>OK</v>
      </c>
      <c r="J503" s="65" t="str">
        <f>IF(LEN(F503)&lt;33,"OK","Fehler")</f>
        <v>OK</v>
      </c>
      <c r="K503" s="65" t="str">
        <f>IF(LEN(G503)&lt;33,"OK","Fehler")</f>
        <v>OK</v>
      </c>
    </row>
    <row r="504" spans="1:11">
      <c r="A504" s="33"/>
      <c r="B504" s="34"/>
      <c r="C504" s="34"/>
      <c r="H504" s="65" t="str">
        <f>IF(LEN(D504)&lt;256,"OK","Fehler")</f>
        <v>OK</v>
      </c>
      <c r="I504" s="65" t="str">
        <f>IF(LEN(E504)&lt;256,"OK","Fehler")</f>
        <v>OK</v>
      </c>
      <c r="J504" s="65" t="str">
        <f>IF(LEN(F504)&lt;256,"OK","Fehler")</f>
        <v>OK</v>
      </c>
      <c r="K504" s="65" t="str">
        <f>IF(LEN(G504)&lt;256,"OK","Fehler")</f>
        <v>OK</v>
      </c>
    </row>
    <row r="505" spans="1:11">
      <c r="A505" s="33"/>
      <c r="B505" s="34"/>
      <c r="C505" s="34"/>
      <c r="H505" s="65" t="str">
        <f>IF(LEN(D505)&lt;33,"OK","Fehler")</f>
        <v>OK</v>
      </c>
      <c r="I505" s="65" t="str">
        <f>IF(LEN(E505)&lt;33,"OK","Fehler")</f>
        <v>OK</v>
      </c>
      <c r="J505" s="65" t="str">
        <f>IF(LEN(F505)&lt;33,"OK","Fehler")</f>
        <v>OK</v>
      </c>
      <c r="K505" s="65" t="str">
        <f>IF(LEN(G505)&lt;33,"OK","Fehler")</f>
        <v>OK</v>
      </c>
    </row>
    <row r="506" spans="1:11">
      <c r="A506" s="33"/>
      <c r="B506" s="34"/>
      <c r="C506" s="34"/>
      <c r="H506" s="65" t="str">
        <f>IF(LEN(D506)&lt;256,"OK","Fehler")</f>
        <v>OK</v>
      </c>
      <c r="I506" s="65" t="str">
        <f>IF(LEN(E506)&lt;256,"OK","Fehler")</f>
        <v>OK</v>
      </c>
      <c r="J506" s="65" t="str">
        <f>IF(LEN(F506)&lt;256,"OK","Fehler")</f>
        <v>OK</v>
      </c>
      <c r="K506" s="65" t="str">
        <f>IF(LEN(G506)&lt;256,"OK","Fehler")</f>
        <v>OK</v>
      </c>
    </row>
    <row r="507" spans="1:11">
      <c r="A507" s="33"/>
      <c r="B507" s="34"/>
      <c r="C507" s="34"/>
      <c r="H507" s="65" t="str">
        <f>IF(LEN(D507)&lt;33,"OK","Fehler")</f>
        <v>OK</v>
      </c>
      <c r="I507" s="65" t="str">
        <f>IF(LEN(E507)&lt;33,"OK","Fehler")</f>
        <v>OK</v>
      </c>
      <c r="J507" s="65" t="str">
        <f>IF(LEN(F507)&lt;33,"OK","Fehler")</f>
        <v>OK</v>
      </c>
      <c r="K507" s="65" t="str">
        <f>IF(LEN(G507)&lt;33,"OK","Fehler")</f>
        <v>OK</v>
      </c>
    </row>
    <row r="508" spans="1:11">
      <c r="A508" s="33"/>
      <c r="B508" s="34"/>
      <c r="C508" s="34"/>
      <c r="H508" s="65" t="str">
        <f>IF(LEN(D508)&lt;256,"OK","Fehler")</f>
        <v>OK</v>
      </c>
      <c r="I508" s="65" t="str">
        <f>IF(LEN(E508)&lt;256,"OK","Fehler")</f>
        <v>OK</v>
      </c>
      <c r="J508" s="65" t="str">
        <f>IF(LEN(F508)&lt;256,"OK","Fehler")</f>
        <v>OK</v>
      </c>
      <c r="K508" s="65" t="str">
        <f>IF(LEN(G508)&lt;256,"OK","Fehler")</f>
        <v>OK</v>
      </c>
    </row>
    <row r="509" spans="1:11">
      <c r="A509" s="33"/>
      <c r="B509" s="34"/>
      <c r="C509" s="34"/>
      <c r="H509" s="65" t="str">
        <f>IF(LEN(D509)&lt;33,"OK","Fehler")</f>
        <v>OK</v>
      </c>
      <c r="I509" s="65" t="str">
        <f>IF(LEN(E509)&lt;33,"OK","Fehler")</f>
        <v>OK</v>
      </c>
      <c r="J509" s="65" t="str">
        <f>IF(LEN(F509)&lt;33,"OK","Fehler")</f>
        <v>OK</v>
      </c>
      <c r="K509" s="65" t="str">
        <f>IF(LEN(G509)&lt;33,"OK","Fehler")</f>
        <v>OK</v>
      </c>
    </row>
    <row r="510" spans="1:11">
      <c r="A510" s="33"/>
      <c r="B510" s="34"/>
      <c r="C510" s="34"/>
      <c r="H510" s="65" t="str">
        <f>IF(LEN(D510)&lt;256,"OK","Fehler")</f>
        <v>OK</v>
      </c>
      <c r="I510" s="65" t="str">
        <f>IF(LEN(E510)&lt;256,"OK","Fehler")</f>
        <v>OK</v>
      </c>
      <c r="J510" s="65" t="str">
        <f>IF(LEN(F510)&lt;256,"OK","Fehler")</f>
        <v>OK</v>
      </c>
      <c r="K510" s="65" t="str">
        <f>IF(LEN(G510)&lt;256,"OK","Fehler")</f>
        <v>OK</v>
      </c>
    </row>
    <row r="511" spans="1:11">
      <c r="A511" s="33"/>
      <c r="B511" s="34"/>
      <c r="C511" s="34"/>
      <c r="H511" s="65" t="str">
        <f>IF(LEN(D511)&lt;33,"OK","Fehler")</f>
        <v>OK</v>
      </c>
      <c r="I511" s="65" t="str">
        <f>IF(LEN(E511)&lt;33,"OK","Fehler")</f>
        <v>OK</v>
      </c>
      <c r="J511" s="65" t="str">
        <f>IF(LEN(F511)&lt;33,"OK","Fehler")</f>
        <v>OK</v>
      </c>
      <c r="K511" s="65" t="str">
        <f>IF(LEN(G511)&lt;33,"OK","Fehler")</f>
        <v>OK</v>
      </c>
    </row>
    <row r="512" spans="1:11">
      <c r="A512" s="33"/>
      <c r="B512" s="34"/>
      <c r="C512" s="34"/>
      <c r="H512" s="65" t="str">
        <f>IF(LEN(D512)&lt;256,"OK","Fehler")</f>
        <v>OK</v>
      </c>
      <c r="I512" s="65" t="str">
        <f>IF(LEN(E512)&lt;256,"OK","Fehler")</f>
        <v>OK</v>
      </c>
      <c r="J512" s="65" t="str">
        <f>IF(LEN(F512)&lt;256,"OK","Fehler")</f>
        <v>OK</v>
      </c>
      <c r="K512" s="65" t="str">
        <f>IF(LEN(G512)&lt;256,"OK","Fehler")</f>
        <v>OK</v>
      </c>
    </row>
    <row r="513" spans="1:11">
      <c r="A513" s="33"/>
      <c r="B513" s="34"/>
      <c r="C513" s="34"/>
      <c r="H513" s="65" t="str">
        <f>IF(LEN(D513)&lt;33,"OK","Fehler")</f>
        <v>OK</v>
      </c>
      <c r="I513" s="65" t="str">
        <f>IF(LEN(E513)&lt;33,"OK","Fehler")</f>
        <v>OK</v>
      </c>
      <c r="J513" s="65" t="str">
        <f>IF(LEN(F513)&lt;33,"OK","Fehler")</f>
        <v>OK</v>
      </c>
      <c r="K513" s="65" t="str">
        <f>IF(LEN(G513)&lt;33,"OK","Fehler")</f>
        <v>OK</v>
      </c>
    </row>
    <row r="514" spans="1:11">
      <c r="A514" s="33"/>
      <c r="B514" s="34"/>
      <c r="C514" s="34"/>
      <c r="H514" s="65" t="str">
        <f>IF(LEN(D514)&lt;256,"OK","Fehler")</f>
        <v>OK</v>
      </c>
      <c r="I514" s="65" t="str">
        <f>IF(LEN(E514)&lt;256,"OK","Fehler")</f>
        <v>OK</v>
      </c>
      <c r="J514" s="65" t="str">
        <f>IF(LEN(F514)&lt;256,"OK","Fehler")</f>
        <v>OK</v>
      </c>
      <c r="K514" s="65" t="str">
        <f>IF(LEN(G514)&lt;256,"OK","Fehler")</f>
        <v>OK</v>
      </c>
    </row>
    <row r="515" spans="1:11">
      <c r="A515" s="33"/>
      <c r="B515" s="34"/>
      <c r="C515" s="34"/>
      <c r="H515" s="65" t="str">
        <f>IF(LEN(D515)&lt;33,"OK","Fehler")</f>
        <v>OK</v>
      </c>
      <c r="I515" s="65" t="str">
        <f>IF(LEN(E515)&lt;33,"OK","Fehler")</f>
        <v>OK</v>
      </c>
      <c r="J515" s="65" t="str">
        <f>IF(LEN(F515)&lt;33,"OK","Fehler")</f>
        <v>OK</v>
      </c>
      <c r="K515" s="65" t="str">
        <f>IF(LEN(G515)&lt;33,"OK","Fehler")</f>
        <v>OK</v>
      </c>
    </row>
    <row r="516" spans="1:11">
      <c r="A516" s="33"/>
      <c r="B516" s="34"/>
      <c r="C516" s="34"/>
      <c r="H516" s="65" t="str">
        <f>IF(LEN(D516)&lt;256,"OK","Fehler")</f>
        <v>OK</v>
      </c>
      <c r="I516" s="65" t="str">
        <f>IF(LEN(E516)&lt;256,"OK","Fehler")</f>
        <v>OK</v>
      </c>
      <c r="J516" s="65" t="str">
        <f>IF(LEN(F516)&lt;256,"OK","Fehler")</f>
        <v>OK</v>
      </c>
      <c r="K516" s="65" t="str">
        <f>IF(LEN(G516)&lt;256,"OK","Fehler")</f>
        <v>OK</v>
      </c>
    </row>
    <row r="517" spans="1:11">
      <c r="A517" s="33"/>
      <c r="B517" s="34"/>
      <c r="C517" s="34"/>
      <c r="H517" s="65" t="str">
        <f>IF(LEN(D517)&lt;33,"OK","Fehler")</f>
        <v>OK</v>
      </c>
      <c r="I517" s="65" t="str">
        <f>IF(LEN(E517)&lt;33,"OK","Fehler")</f>
        <v>OK</v>
      </c>
      <c r="J517" s="65" t="str">
        <f>IF(LEN(F517)&lt;33,"OK","Fehler")</f>
        <v>OK</v>
      </c>
      <c r="K517" s="65" t="str">
        <f>IF(LEN(G517)&lt;33,"OK","Fehler")</f>
        <v>OK</v>
      </c>
    </row>
    <row r="518" spans="1:11">
      <c r="A518" s="33"/>
      <c r="B518" s="34"/>
      <c r="C518" s="34"/>
      <c r="H518" s="65" t="str">
        <f>IF(LEN(D518)&lt;256,"OK","Fehler")</f>
        <v>OK</v>
      </c>
      <c r="I518" s="65" t="str">
        <f>IF(LEN(E518)&lt;256,"OK","Fehler")</f>
        <v>OK</v>
      </c>
      <c r="J518" s="65" t="str">
        <f>IF(LEN(F518)&lt;256,"OK","Fehler")</f>
        <v>OK</v>
      </c>
      <c r="K518" s="65" t="str">
        <f>IF(LEN(G518)&lt;256,"OK","Fehler")</f>
        <v>OK</v>
      </c>
    </row>
  </sheetData>
  <sheetProtection algorithmName="SHA-512" hashValue="X6AjYGDdkjS8cDWCDFLkMj2Hl+NWA64AE7rBLf7UURy1PYMv7a6ukVPvORU9wDNOc2WicL8dR3WDR1ktrK7UXg==" saltValue="6/4ZQGX0c+11to9YKw7ZFA==" spinCount="100000" sheet="1"/>
  <mergeCells count="1">
    <mergeCell ref="H385:K385"/>
  </mergeCells>
  <conditionalFormatting sqref="C5:C40">
    <cfRule type="expression" dxfId="103" priority="32" stopIfTrue="1">
      <formula>C5=""</formula>
    </cfRule>
  </conditionalFormatting>
  <conditionalFormatting sqref="C62:C72">
    <cfRule type="expression" dxfId="102" priority="17" stopIfTrue="1">
      <formula>C62=""</formula>
    </cfRule>
  </conditionalFormatting>
  <conditionalFormatting sqref="D186:D327">
    <cfRule type="expression" dxfId="101" priority="12" stopIfTrue="1">
      <formula>D186=""</formula>
    </cfRule>
  </conditionalFormatting>
  <conditionalFormatting sqref="D407:E494">
    <cfRule type="expression" dxfId="100" priority="19" stopIfTrue="1">
      <formula>D407=""</formula>
    </cfRule>
  </conditionalFormatting>
  <conditionalFormatting sqref="D5:F8 D10:D40 C73:F84 C88:F109 C113:F161 C328:F360 C363:F383">
    <cfRule type="expression" dxfId="99" priority="21" stopIfTrue="1">
      <formula>C5=""</formula>
    </cfRule>
  </conditionalFormatting>
  <conditionalFormatting sqref="D44:F72">
    <cfRule type="expression" dxfId="98" priority="15" stopIfTrue="1">
      <formula>D44=""</formula>
    </cfRule>
  </conditionalFormatting>
  <conditionalFormatting sqref="D164:F171">
    <cfRule type="expression" dxfId="97" priority="1" stopIfTrue="1">
      <formula>D164=""</formula>
    </cfRule>
  </conditionalFormatting>
  <conditionalFormatting sqref="D495:G518">
    <cfRule type="expression" dxfId="96" priority="30">
      <formula>D495=""</formula>
    </cfRule>
  </conditionalFormatting>
  <conditionalFormatting sqref="E11:E22 E24:E26 E28:E40">
    <cfRule type="expression" dxfId="95" priority="26" stopIfTrue="1">
      <formula>E11=""</formula>
    </cfRule>
  </conditionalFormatting>
  <conditionalFormatting sqref="E185:G327">
    <cfRule type="expression" dxfId="94" priority="10" stopIfTrue="1">
      <formula>E185=""</formula>
    </cfRule>
  </conditionalFormatting>
  <conditionalFormatting sqref="F11:F40 C44:C50">
    <cfRule type="expression" dxfId="93" priority="33" stopIfTrue="1">
      <formula>C11=""</formula>
    </cfRule>
  </conditionalFormatting>
  <conditionalFormatting sqref="F407:G494">
    <cfRule type="expression" dxfId="92" priority="22">
      <formula>F407=""</formula>
    </cfRule>
  </conditionalFormatting>
  <conditionalFormatting sqref="G330:G344">
    <cfRule type="expression" dxfId="91" priority="9" stopIfTrue="1">
      <formula>G330=""</formula>
    </cfRule>
  </conditionalFormatting>
  <conditionalFormatting sqref="H387:K518">
    <cfRule type="expression" dxfId="90" priority="18">
      <formula>H387="OK"</formula>
    </cfRule>
  </conditionalFormatting>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AF523"/>
  <sheetViews>
    <sheetView zoomScale="90" zoomScaleNormal="90" workbookViewId="0">
      <pane xSplit="2" ySplit="8" topLeftCell="C9" activePane="bottomRight" state="frozen"/>
      <selection activeCell="B23" sqref="B23"/>
      <selection pane="topRight" activeCell="B23" sqref="B23"/>
      <selection pane="bottomLeft" activeCell="B23" sqref="B23"/>
      <selection pane="bottomRight" activeCell="B23" sqref="B23"/>
    </sheetView>
  </sheetViews>
  <sheetFormatPr baseColWidth="10" defaultRowHeight="15"/>
  <cols>
    <col min="1" max="1" width="9.875" customWidth="1"/>
    <col min="2" max="2" width="56.4375" customWidth="1"/>
    <col min="3" max="3" width="7.75" bestFit="1" customWidth="1"/>
    <col min="5" max="5" width="13.25" bestFit="1" customWidth="1"/>
    <col min="6" max="6" width="5.6875" bestFit="1" customWidth="1"/>
    <col min="7" max="7" width="7.25" bestFit="1" customWidth="1"/>
    <col min="17" max="17" width="8.4375" customWidth="1"/>
    <col min="19" max="19" width="6.4375" customWidth="1"/>
    <col min="20" max="20" width="8.75" customWidth="1"/>
    <col min="21" max="21" width="7.75" customWidth="1"/>
  </cols>
  <sheetData>
    <row r="1" spans="1:29" ht="17.600000000000001">
      <c r="A1" s="12" t="s">
        <v>204</v>
      </c>
    </row>
    <row r="2" spans="1:29" ht="8.25" customHeight="1">
      <c r="A2" s="12"/>
    </row>
    <row r="3" spans="1:29">
      <c r="A3" s="8" t="s">
        <v>477</v>
      </c>
    </row>
    <row r="4" spans="1:29">
      <c r="A4" s="8" t="s">
        <v>390</v>
      </c>
    </row>
    <row r="5" spans="1:29">
      <c r="A5" s="8" t="s">
        <v>476</v>
      </c>
    </row>
    <row r="6" spans="1:29" ht="9" customHeight="1"/>
    <row r="7" spans="1:29">
      <c r="A7" s="20" t="s">
        <v>203</v>
      </c>
      <c r="B7" s="20" t="s">
        <v>23</v>
      </c>
      <c r="C7" s="20" t="s">
        <v>202</v>
      </c>
      <c r="D7" s="20" t="s">
        <v>185</v>
      </c>
      <c r="E7" s="20" t="s">
        <v>232</v>
      </c>
      <c r="F7" s="20" t="s">
        <v>233</v>
      </c>
      <c r="G7" s="20" t="s">
        <v>276</v>
      </c>
      <c r="H7" s="110" t="s">
        <v>234</v>
      </c>
      <c r="I7" s="110"/>
      <c r="J7" s="110"/>
      <c r="K7" s="110" t="s">
        <v>1730</v>
      </c>
      <c r="L7" s="110"/>
      <c r="M7" s="110"/>
      <c r="N7" s="110" t="s">
        <v>238</v>
      </c>
      <c r="O7" s="110"/>
      <c r="P7" s="110"/>
      <c r="Q7" s="20" t="s">
        <v>440</v>
      </c>
      <c r="R7" s="20" t="s">
        <v>230</v>
      </c>
      <c r="S7" s="20" t="s">
        <v>233</v>
      </c>
      <c r="T7" s="20" t="s">
        <v>2342</v>
      </c>
      <c r="U7" s="20" t="s">
        <v>534</v>
      </c>
    </row>
    <row r="8" spans="1:29" ht="26.6">
      <c r="A8" s="20"/>
      <c r="B8" s="20"/>
      <c r="C8" s="20"/>
      <c r="D8" s="20"/>
      <c r="E8" s="20"/>
      <c r="F8" s="20"/>
      <c r="G8" s="22" t="s">
        <v>277</v>
      </c>
      <c r="H8" s="21" t="s">
        <v>272</v>
      </c>
      <c r="I8" s="21" t="s">
        <v>236</v>
      </c>
      <c r="J8" s="21" t="s">
        <v>237</v>
      </c>
      <c r="K8" s="21" t="s">
        <v>273</v>
      </c>
      <c r="L8" s="21" t="s">
        <v>274</v>
      </c>
      <c r="M8" s="21" t="s">
        <v>275</v>
      </c>
      <c r="N8" s="21" t="s">
        <v>239</v>
      </c>
      <c r="O8" s="21" t="s">
        <v>240</v>
      </c>
      <c r="P8" s="21" t="s">
        <v>241</v>
      </c>
      <c r="Q8" s="21" t="s">
        <v>441</v>
      </c>
      <c r="R8" s="21"/>
      <c r="S8" s="21"/>
      <c r="T8" s="21"/>
      <c r="U8" s="21"/>
    </row>
    <row r="9" spans="1:29">
      <c r="A9" s="75" t="s">
        <v>249</v>
      </c>
      <c r="B9" s="77" t="str">
        <f>Texte!$B$270</f>
        <v>Excavation (SIA 2032)</v>
      </c>
      <c r="C9" s="75"/>
      <c r="D9" s="75"/>
      <c r="E9" s="75" t="s">
        <v>762</v>
      </c>
      <c r="F9" s="75" t="s">
        <v>243</v>
      </c>
      <c r="G9" s="8">
        <v>60</v>
      </c>
      <c r="H9" s="44">
        <v>2.7833333333333331E-2</v>
      </c>
      <c r="I9" s="54">
        <v>1.67</v>
      </c>
      <c r="J9" s="54">
        <v>0</v>
      </c>
      <c r="K9" s="48">
        <f>(L9+M9)/$G9</f>
        <v>6.8666666666666659E-3</v>
      </c>
      <c r="L9" s="53">
        <v>0.41199999999999998</v>
      </c>
      <c r="M9" s="53">
        <v>0</v>
      </c>
      <c r="N9" s="46">
        <f>(O9+P9)/$G9</f>
        <v>8.15</v>
      </c>
      <c r="O9" s="46">
        <v>489</v>
      </c>
      <c r="P9" s="46">
        <v>0</v>
      </c>
      <c r="Q9" s="8" t="s">
        <v>19</v>
      </c>
      <c r="R9" s="8" t="s">
        <v>265</v>
      </c>
      <c r="S9" s="8" t="s">
        <v>243</v>
      </c>
      <c r="T9" s="8" t="s">
        <v>2343</v>
      </c>
      <c r="U9" s="7" t="s">
        <v>761</v>
      </c>
      <c r="W9">
        <v>1</v>
      </c>
      <c r="X9" t="s">
        <v>1910</v>
      </c>
      <c r="Y9">
        <f>RIGHT(X9,3)*1</f>
        <v>248</v>
      </c>
      <c r="Z9" t="str">
        <f>RIGHT(A9,LEN(A9)-SEARCH("_",A9,3))&amp;"-"&amp;W9</f>
        <v>B-1</v>
      </c>
      <c r="AB9">
        <v>163</v>
      </c>
      <c r="AC9" t="s">
        <v>2057</v>
      </c>
    </row>
    <row r="10" spans="1:29">
      <c r="A10" s="75" t="s">
        <v>249</v>
      </c>
      <c r="B10" s="77" t="str">
        <f>Texte!$B$272</f>
        <v>Fermeture de fosse du bâtiment, paroi de membrane (SIA 2032)</v>
      </c>
      <c r="C10" s="75"/>
      <c r="D10" s="75"/>
      <c r="E10" s="75" t="s">
        <v>242</v>
      </c>
      <c r="F10" s="75" t="s">
        <v>30</v>
      </c>
      <c r="G10" s="8">
        <v>60</v>
      </c>
      <c r="H10" s="44">
        <v>20.833333333333332</v>
      </c>
      <c r="I10" s="54">
        <v>1120</v>
      </c>
      <c r="J10" s="54">
        <v>130</v>
      </c>
      <c r="K10" s="48">
        <f>(L10+M10)/$G10</f>
        <v>6.7866666666666662</v>
      </c>
      <c r="L10" s="53">
        <v>382</v>
      </c>
      <c r="M10" s="53">
        <v>25.2</v>
      </c>
      <c r="N10" s="46">
        <f>(O10+P10)/$G10</f>
        <v>10808.333333333334</v>
      </c>
      <c r="O10" s="50">
        <v>583000</v>
      </c>
      <c r="P10" s="50">
        <v>65500</v>
      </c>
      <c r="Q10" s="8" t="s">
        <v>19</v>
      </c>
      <c r="R10" s="8"/>
      <c r="S10" s="8" t="s">
        <v>30</v>
      </c>
      <c r="T10" s="8" t="s">
        <v>2343</v>
      </c>
      <c r="U10" s="7" t="s">
        <v>761</v>
      </c>
      <c r="W10">
        <v>2</v>
      </c>
      <c r="X10" t="s">
        <v>1911</v>
      </c>
      <c r="Y10">
        <f t="shared" ref="Y10:Y73" si="0">RIGHT(X10,3)*1</f>
        <v>250</v>
      </c>
      <c r="Z10" t="str">
        <f t="shared" ref="Z10:Z73" si="1">RIGHT(A10,LEN(A10)-SEARCH("_",A10,3))&amp;"-"&amp;W10</f>
        <v>B-2</v>
      </c>
      <c r="AB10">
        <v>164</v>
      </c>
      <c r="AC10" t="s">
        <v>2058</v>
      </c>
    </row>
    <row r="11" spans="1:29">
      <c r="A11" s="75" t="s">
        <v>249</v>
      </c>
      <c r="B11" s="77" t="str">
        <f>Texte!$B$271</f>
        <v>Fermeture de la fosse du bâtiment, paroi berlinoise (SIA 2032)</v>
      </c>
      <c r="C11" s="75"/>
      <c r="D11" s="75"/>
      <c r="E11" s="75" t="s">
        <v>242</v>
      </c>
      <c r="F11" s="75" t="s">
        <v>30</v>
      </c>
      <c r="G11" s="8">
        <v>60</v>
      </c>
      <c r="H11" s="44">
        <v>11.286666666666667</v>
      </c>
      <c r="I11" s="54">
        <v>642</v>
      </c>
      <c r="J11" s="54">
        <v>35.200000000000003</v>
      </c>
      <c r="K11" s="48">
        <f>(L11+M11)/$G11</f>
        <v>3.0640000000000001</v>
      </c>
      <c r="L11" s="53">
        <v>177</v>
      </c>
      <c r="M11" s="53">
        <v>6.84</v>
      </c>
      <c r="N11" s="46">
        <f>(O11+P11)/$G11</f>
        <v>3996.6666666666665</v>
      </c>
      <c r="O11" s="50">
        <v>222000</v>
      </c>
      <c r="P11" s="50">
        <v>17800</v>
      </c>
      <c r="Q11" s="8" t="s">
        <v>19</v>
      </c>
      <c r="R11" s="8"/>
      <c r="S11" s="8" t="s">
        <v>30</v>
      </c>
      <c r="T11" s="8" t="s">
        <v>2343</v>
      </c>
      <c r="U11" s="7" t="s">
        <v>761</v>
      </c>
      <c r="W11">
        <v>3</v>
      </c>
      <c r="X11" t="s">
        <v>1912</v>
      </c>
      <c r="Y11">
        <f t="shared" si="0"/>
        <v>249</v>
      </c>
      <c r="Z11" t="str">
        <f t="shared" si="1"/>
        <v>B-3</v>
      </c>
      <c r="AB11">
        <v>165</v>
      </c>
      <c r="AC11" t="s">
        <v>2064</v>
      </c>
    </row>
    <row r="12" spans="1:29">
      <c r="A12" s="75" t="s">
        <v>249</v>
      </c>
      <c r="B12" s="77" t="str">
        <f>Texte!$B$273</f>
        <v>Fin de la fouille, paroi de palplanches (SIA 2032)</v>
      </c>
      <c r="C12" s="75"/>
      <c r="D12" s="75"/>
      <c r="E12" s="75" t="s">
        <v>242</v>
      </c>
      <c r="F12" s="75" t="s">
        <v>30</v>
      </c>
      <c r="G12" s="8">
        <v>60</v>
      </c>
      <c r="H12" s="44">
        <v>12.45</v>
      </c>
      <c r="I12" s="54">
        <v>747</v>
      </c>
      <c r="J12" s="54">
        <v>0</v>
      </c>
      <c r="K12" s="48">
        <f>(L12+M12)/$G12</f>
        <v>2.7166666666666668</v>
      </c>
      <c r="L12" s="53">
        <v>163</v>
      </c>
      <c r="M12" s="53">
        <v>0</v>
      </c>
      <c r="N12" s="46">
        <f>(O12+P12)/$G12</f>
        <v>3800</v>
      </c>
      <c r="O12" s="50">
        <v>228000</v>
      </c>
      <c r="P12" s="50">
        <v>0</v>
      </c>
      <c r="Q12" s="8" t="s">
        <v>19</v>
      </c>
      <c r="R12" s="8"/>
      <c r="S12" s="8" t="s">
        <v>30</v>
      </c>
      <c r="T12" s="8" t="s">
        <v>2343</v>
      </c>
      <c r="U12" s="7" t="s">
        <v>761</v>
      </c>
      <c r="W12">
        <v>4</v>
      </c>
      <c r="X12" t="s">
        <v>1913</v>
      </c>
      <c r="Y12">
        <f t="shared" si="0"/>
        <v>251</v>
      </c>
      <c r="Z12" t="str">
        <f t="shared" si="1"/>
        <v>B-4</v>
      </c>
      <c r="AB12">
        <v>166</v>
      </c>
      <c r="AC12" t="s">
        <v>2065</v>
      </c>
    </row>
    <row r="13" spans="1:29">
      <c r="A13" s="77" t="s">
        <v>249</v>
      </c>
      <c r="B13" s="77" t="str">
        <f>Texte!$B$185</f>
        <v>Déblai de fouille à la décharge (CC)</v>
      </c>
      <c r="C13" s="77" t="s">
        <v>610</v>
      </c>
      <c r="D13" s="77" t="s">
        <v>612</v>
      </c>
      <c r="E13" s="77" t="s">
        <v>653</v>
      </c>
      <c r="F13" s="77" t="s">
        <v>243</v>
      </c>
      <c r="G13" s="42">
        <f>(I13+J13)/H13</f>
        <v>60.303030303030305</v>
      </c>
      <c r="H13" s="43">
        <v>0.27499999999999997</v>
      </c>
      <c r="I13" s="43">
        <v>16.583333333333332</v>
      </c>
      <c r="J13" s="43">
        <v>0</v>
      </c>
      <c r="K13" s="47">
        <v>0.06</v>
      </c>
      <c r="L13" s="47">
        <v>3.63</v>
      </c>
      <c r="M13" s="47">
        <v>0</v>
      </c>
      <c r="N13" s="50">
        <v>68</v>
      </c>
      <c r="O13" s="50">
        <v>4104</v>
      </c>
      <c r="P13" s="50">
        <v>0</v>
      </c>
      <c r="Q13" s="7" t="s">
        <v>19</v>
      </c>
      <c r="R13" s="7" t="s">
        <v>265</v>
      </c>
      <c r="S13" s="7" t="s">
        <v>243</v>
      </c>
      <c r="T13" s="8" t="s">
        <v>2343</v>
      </c>
      <c r="U13" s="7" t="s">
        <v>651</v>
      </c>
      <c r="W13">
        <v>5</v>
      </c>
      <c r="X13" t="s">
        <v>1914</v>
      </c>
      <c r="Y13">
        <f t="shared" si="0"/>
        <v>163</v>
      </c>
      <c r="Z13" t="str">
        <f t="shared" si="1"/>
        <v>B-5</v>
      </c>
      <c r="AB13">
        <v>167</v>
      </c>
      <c r="AC13" t="s">
        <v>2066</v>
      </c>
    </row>
    <row r="14" spans="1:29">
      <c r="A14" s="77" t="s">
        <v>249</v>
      </c>
      <c r="B14" s="77" t="str">
        <f>Texte!$B$186</f>
        <v>Déblai de fouille, dépôt sur le chantier (CC)</v>
      </c>
      <c r="C14" s="77" t="s">
        <v>609</v>
      </c>
      <c r="D14" s="77" t="s">
        <v>611</v>
      </c>
      <c r="E14" s="77" t="s">
        <v>653</v>
      </c>
      <c r="F14" s="77" t="s">
        <v>243</v>
      </c>
      <c r="G14" s="42">
        <v>60</v>
      </c>
      <c r="H14" s="43">
        <v>3.6111111111111115E-2</v>
      </c>
      <c r="I14" s="43">
        <v>2.2305555555555552</v>
      </c>
      <c r="J14" s="43">
        <v>0</v>
      </c>
      <c r="K14" s="47">
        <v>0.01</v>
      </c>
      <c r="L14" s="47">
        <v>0.53</v>
      </c>
      <c r="M14" s="47">
        <v>0</v>
      </c>
      <c r="N14" s="50">
        <v>11</v>
      </c>
      <c r="O14" s="50">
        <v>665</v>
      </c>
      <c r="P14" s="50">
        <v>0</v>
      </c>
      <c r="Q14" s="7" t="s">
        <v>19</v>
      </c>
      <c r="R14" s="7" t="s">
        <v>265</v>
      </c>
      <c r="S14" s="7" t="s">
        <v>243</v>
      </c>
      <c r="T14" s="8" t="s">
        <v>2343</v>
      </c>
      <c r="U14" s="7" t="s">
        <v>651</v>
      </c>
      <c r="W14">
        <v>6</v>
      </c>
      <c r="X14" t="s">
        <v>1915</v>
      </c>
      <c r="Y14">
        <f t="shared" si="0"/>
        <v>164</v>
      </c>
      <c r="Z14" t="str">
        <f t="shared" si="1"/>
        <v>B-6</v>
      </c>
      <c r="AB14">
        <v>168</v>
      </c>
      <c r="AC14" t="s">
        <v>2069</v>
      </c>
    </row>
    <row r="15" spans="1:29">
      <c r="A15" s="75" t="s">
        <v>249</v>
      </c>
      <c r="B15" s="77" t="str">
        <f>Texte!$B$274</f>
        <v>Pile, micro-pile (SIA 2032)</v>
      </c>
      <c r="C15" s="75"/>
      <c r="D15" s="75"/>
      <c r="E15" s="75" t="s">
        <v>763</v>
      </c>
      <c r="F15" s="75" t="s">
        <v>30</v>
      </c>
      <c r="G15" s="8">
        <v>60</v>
      </c>
      <c r="H15" s="44">
        <v>2.9</v>
      </c>
      <c r="I15" s="54">
        <v>174</v>
      </c>
      <c r="J15" s="54">
        <v>0</v>
      </c>
      <c r="K15" s="48">
        <f>(L15+M15)/$G15</f>
        <v>0.76500000000000012</v>
      </c>
      <c r="L15" s="53">
        <v>45.900000000000006</v>
      </c>
      <c r="M15" s="53">
        <v>0</v>
      </c>
      <c r="N15" s="46">
        <f>(O15+P15)/$G15</f>
        <v>1215</v>
      </c>
      <c r="O15" s="50">
        <v>72900</v>
      </c>
      <c r="P15" s="50">
        <v>0</v>
      </c>
      <c r="Q15" s="8" t="s">
        <v>19</v>
      </c>
      <c r="R15" s="8"/>
      <c r="S15" s="8" t="s">
        <v>30</v>
      </c>
      <c r="T15" s="8" t="s">
        <v>341</v>
      </c>
      <c r="U15" s="7" t="s">
        <v>761</v>
      </c>
      <c r="W15">
        <v>7</v>
      </c>
      <c r="X15" t="s">
        <v>1916</v>
      </c>
      <c r="Y15">
        <f t="shared" si="0"/>
        <v>252</v>
      </c>
      <c r="Z15" t="str">
        <f t="shared" si="1"/>
        <v>B-7</v>
      </c>
      <c r="AB15">
        <v>169</v>
      </c>
      <c r="AC15" t="s">
        <v>2070</v>
      </c>
    </row>
    <row r="16" spans="1:29">
      <c r="A16" s="75" t="s">
        <v>249</v>
      </c>
      <c r="B16" s="77" t="str">
        <f>Texte!$B$275</f>
        <v>Pieu, pieu de déplacement en béton in situ (SIA 2032)</v>
      </c>
      <c r="C16" s="75"/>
      <c r="D16" s="75"/>
      <c r="E16" s="75" t="s">
        <v>763</v>
      </c>
      <c r="F16" s="75" t="s">
        <v>30</v>
      </c>
      <c r="G16" s="8">
        <v>60</v>
      </c>
      <c r="H16" s="44">
        <v>6.8250000000000002</v>
      </c>
      <c r="I16" s="54">
        <v>409.5</v>
      </c>
      <c r="J16" s="54">
        <v>0</v>
      </c>
      <c r="K16" s="48">
        <f>(L16+M16)/$G16</f>
        <v>2.2824999999999998</v>
      </c>
      <c r="L16" s="53">
        <v>136.94999999999999</v>
      </c>
      <c r="M16" s="53">
        <v>0</v>
      </c>
      <c r="N16" s="46">
        <f>(O16+P16)/$G16</f>
        <v>3800</v>
      </c>
      <c r="O16" s="50">
        <v>228000</v>
      </c>
      <c r="P16" s="50">
        <v>0</v>
      </c>
      <c r="Q16" s="8" t="s">
        <v>19</v>
      </c>
      <c r="R16" s="8"/>
      <c r="S16" s="8" t="s">
        <v>30</v>
      </c>
      <c r="T16" s="8" t="s">
        <v>341</v>
      </c>
      <c r="U16" s="7" t="s">
        <v>761</v>
      </c>
      <c r="W16">
        <v>8</v>
      </c>
      <c r="X16" t="s">
        <v>1917</v>
      </c>
      <c r="Y16">
        <f t="shared" si="0"/>
        <v>253</v>
      </c>
      <c r="Z16" t="str">
        <f t="shared" si="1"/>
        <v>B-8</v>
      </c>
      <c r="AB16">
        <v>170</v>
      </c>
      <c r="AC16" t="s">
        <v>2071</v>
      </c>
    </row>
    <row r="17" spans="1:29">
      <c r="A17" s="75" t="s">
        <v>249</v>
      </c>
      <c r="B17" s="77" t="str">
        <f>Texte!$B$276</f>
        <v>Pile, pieu en béton préfabriqué (SIA 2032)</v>
      </c>
      <c r="C17" s="75"/>
      <c r="D17" s="75"/>
      <c r="E17" s="75" t="s">
        <v>763</v>
      </c>
      <c r="F17" s="75" t="s">
        <v>30</v>
      </c>
      <c r="G17" s="8">
        <v>60</v>
      </c>
      <c r="H17" s="44">
        <v>1.6524999999999999</v>
      </c>
      <c r="I17" s="44">
        <v>99.149999999999991</v>
      </c>
      <c r="J17" s="44">
        <v>0</v>
      </c>
      <c r="K17" s="48">
        <f>(L17+M17)/$G17</f>
        <v>0.71500000000000008</v>
      </c>
      <c r="L17" s="53">
        <v>42.900000000000006</v>
      </c>
      <c r="M17" s="53">
        <v>0</v>
      </c>
      <c r="N17" s="46">
        <f>(O17+P17)/$G17</f>
        <v>970</v>
      </c>
      <c r="O17" s="46">
        <v>58200</v>
      </c>
      <c r="P17" s="46">
        <v>0</v>
      </c>
      <c r="Q17" s="8" t="s">
        <v>19</v>
      </c>
      <c r="R17" s="8"/>
      <c r="S17" s="8" t="s">
        <v>30</v>
      </c>
      <c r="T17" s="8" t="s">
        <v>341</v>
      </c>
      <c r="U17" s="7" t="s">
        <v>761</v>
      </c>
      <c r="W17">
        <v>9</v>
      </c>
      <c r="X17" t="s">
        <v>1918</v>
      </c>
      <c r="Y17">
        <f t="shared" si="0"/>
        <v>254</v>
      </c>
      <c r="Z17" t="str">
        <f t="shared" si="1"/>
        <v>B-9</v>
      </c>
      <c r="AB17">
        <v>171</v>
      </c>
      <c r="AC17" t="s">
        <v>2072</v>
      </c>
    </row>
    <row r="18" spans="1:29">
      <c r="A18" s="75" t="s">
        <v>250</v>
      </c>
      <c r="B18" s="77" t="str">
        <f>Texte!$B$278</f>
        <v>Plaque de base, fondation isolée (SIA 2032)</v>
      </c>
      <c r="C18" s="75"/>
      <c r="D18" s="75"/>
      <c r="E18" s="75" t="s">
        <v>242</v>
      </c>
      <c r="F18" s="75" t="s">
        <v>30</v>
      </c>
      <c r="G18" s="8">
        <v>60</v>
      </c>
      <c r="H18" s="44">
        <v>7.3726666666666665</v>
      </c>
      <c r="I18" s="44">
        <v>397.44</v>
      </c>
      <c r="J18" s="44">
        <v>44.92</v>
      </c>
      <c r="K18" s="48">
        <f>(L18+M18)/$G18</f>
        <v>2.7103333333333333</v>
      </c>
      <c r="L18" s="8">
        <v>143.54</v>
      </c>
      <c r="M18" s="8">
        <v>19.079999999999998</v>
      </c>
      <c r="N18" s="50">
        <f>(O18+P18)/$G18</f>
        <v>3578.1183333333333</v>
      </c>
      <c r="O18" s="50">
        <v>187110.47</v>
      </c>
      <c r="P18" s="50">
        <v>27576.63</v>
      </c>
      <c r="Q18" s="8" t="s">
        <v>20</v>
      </c>
      <c r="R18" s="8"/>
      <c r="S18" s="8" t="s">
        <v>30</v>
      </c>
      <c r="T18" s="8" t="s">
        <v>341</v>
      </c>
      <c r="U18" s="7" t="s">
        <v>761</v>
      </c>
      <c r="W18">
        <v>1</v>
      </c>
      <c r="X18" t="s">
        <v>1919</v>
      </c>
      <c r="Y18">
        <f t="shared" si="0"/>
        <v>256</v>
      </c>
      <c r="Z18" t="str">
        <f t="shared" si="1"/>
        <v>C1-1</v>
      </c>
      <c r="AB18">
        <v>172</v>
      </c>
      <c r="AC18" t="s">
        <v>2073</v>
      </c>
    </row>
    <row r="19" spans="1:29">
      <c r="A19" s="75" t="s">
        <v>250</v>
      </c>
      <c r="B19" s="77" t="str">
        <f>Texte!$B$277</f>
        <v>Plaque de base, fondation non isolée (SIA 2032)</v>
      </c>
      <c r="C19" s="75"/>
      <c r="D19" s="75"/>
      <c r="E19" s="75" t="s">
        <v>242</v>
      </c>
      <c r="F19" s="75" t="s">
        <v>30</v>
      </c>
      <c r="G19" s="8">
        <v>60</v>
      </c>
      <c r="H19" s="44">
        <v>4.4995000000000003</v>
      </c>
      <c r="I19" s="44">
        <v>226.46</v>
      </c>
      <c r="J19" s="44">
        <v>43.51</v>
      </c>
      <c r="K19" s="48">
        <f>(L19+M19)/$G19</f>
        <v>1.6329999999999998</v>
      </c>
      <c r="L19" s="8">
        <v>89.57</v>
      </c>
      <c r="M19" s="8">
        <v>8.41</v>
      </c>
      <c r="N19" s="50">
        <f>(O19+P19)/$G19</f>
        <v>2734.7371666666668</v>
      </c>
      <c r="O19" s="50">
        <v>141955.97</v>
      </c>
      <c r="P19" s="50">
        <v>22128.26</v>
      </c>
      <c r="Q19" s="8" t="s">
        <v>19</v>
      </c>
      <c r="R19" s="8"/>
      <c r="S19" s="8" t="s">
        <v>30</v>
      </c>
      <c r="T19" s="8" t="s">
        <v>341</v>
      </c>
      <c r="U19" s="7" t="s">
        <v>761</v>
      </c>
      <c r="W19">
        <v>2</v>
      </c>
      <c r="X19" t="s">
        <v>1920</v>
      </c>
      <c r="Y19">
        <f t="shared" si="0"/>
        <v>255</v>
      </c>
      <c r="Z19" t="str">
        <f t="shared" si="1"/>
        <v>C1-2</v>
      </c>
      <c r="AB19">
        <v>173</v>
      </c>
      <c r="AC19" t="s">
        <v>2089</v>
      </c>
    </row>
    <row r="20" spans="1:29">
      <c r="A20" s="77" t="s">
        <v>250</v>
      </c>
      <c r="B20" s="77" t="str">
        <f>Texte!$B$187</f>
        <v>Radier en béton 25cm (CC)</v>
      </c>
      <c r="C20" s="77" t="s">
        <v>688</v>
      </c>
      <c r="D20" s="77" t="s">
        <v>687</v>
      </c>
      <c r="E20" s="77" t="s">
        <v>242</v>
      </c>
      <c r="F20" s="77" t="s">
        <v>30</v>
      </c>
      <c r="G20" s="42">
        <v>60</v>
      </c>
      <c r="H20" s="43">
        <v>3.9416666666666664</v>
      </c>
      <c r="I20" s="43">
        <v>187</v>
      </c>
      <c r="J20" s="43">
        <v>49.555555555555557</v>
      </c>
      <c r="K20" s="47">
        <v>1.38</v>
      </c>
      <c r="L20" s="47">
        <v>73.260000000000005</v>
      </c>
      <c r="M20" s="47">
        <v>9.4700000000000006</v>
      </c>
      <c r="N20" s="50">
        <v>2215</v>
      </c>
      <c r="O20" s="50">
        <v>109237</v>
      </c>
      <c r="P20" s="50">
        <v>23653</v>
      </c>
      <c r="Q20" s="7" t="s">
        <v>19</v>
      </c>
      <c r="R20" s="7"/>
      <c r="S20" s="8" t="s">
        <v>30</v>
      </c>
      <c r="T20" s="8" t="s">
        <v>341</v>
      </c>
      <c r="U20" s="7" t="s">
        <v>651</v>
      </c>
      <c r="W20">
        <v>3</v>
      </c>
      <c r="X20" t="s">
        <v>1921</v>
      </c>
      <c r="Y20">
        <f t="shared" si="0"/>
        <v>165</v>
      </c>
      <c r="Z20" t="str">
        <f t="shared" si="1"/>
        <v>C1-3</v>
      </c>
      <c r="AB20">
        <v>174</v>
      </c>
      <c r="AC20" t="s">
        <v>2090</v>
      </c>
    </row>
    <row r="21" spans="1:29">
      <c r="A21" s="77" t="s">
        <v>250</v>
      </c>
      <c r="B21" s="77" t="str">
        <f>Texte!$B$188</f>
        <v>Radier en béton 25cm avec isolation thermique XPS côté intérieur et chape flottante (CC)</v>
      </c>
      <c r="C21" s="77" t="s">
        <v>536</v>
      </c>
      <c r="D21" s="77" t="s">
        <v>535</v>
      </c>
      <c r="E21" s="77" t="s">
        <v>242</v>
      </c>
      <c r="F21" s="77" t="s">
        <v>30</v>
      </c>
      <c r="G21" s="42">
        <f>(I21+J21)/H21</f>
        <v>38.626891862250488</v>
      </c>
      <c r="H21" s="43">
        <v>12.66388888888889</v>
      </c>
      <c r="I21" s="43">
        <v>434.47222222222217</v>
      </c>
      <c r="J21" s="43">
        <v>54.694444444444443</v>
      </c>
      <c r="K21" s="47">
        <v>5.37</v>
      </c>
      <c r="L21" s="47">
        <v>156.91999999999999</v>
      </c>
      <c r="M21" s="47">
        <v>40.44</v>
      </c>
      <c r="N21" s="50">
        <v>4902</v>
      </c>
      <c r="O21" s="50">
        <v>163582</v>
      </c>
      <c r="P21" s="50">
        <v>45456</v>
      </c>
      <c r="Q21" s="7" t="s">
        <v>20</v>
      </c>
      <c r="R21" s="7"/>
      <c r="S21" s="8" t="s">
        <v>30</v>
      </c>
      <c r="T21" s="8" t="s">
        <v>341</v>
      </c>
      <c r="U21" s="7" t="s">
        <v>651</v>
      </c>
      <c r="W21">
        <v>4</v>
      </c>
      <c r="X21" t="s">
        <v>1922</v>
      </c>
      <c r="Y21">
        <f t="shared" si="0"/>
        <v>166</v>
      </c>
      <c r="Z21" t="str">
        <f t="shared" si="1"/>
        <v>C1-4</v>
      </c>
      <c r="AB21">
        <v>175</v>
      </c>
      <c r="AC21" t="s">
        <v>2091</v>
      </c>
    </row>
    <row r="22" spans="1:29">
      <c r="A22" s="77" t="s">
        <v>250</v>
      </c>
      <c r="B22" s="77" t="str">
        <f>Texte!$B$189</f>
        <v>Isolation thermique, radier en béton 25 cm, chape adhérente (CC)</v>
      </c>
      <c r="C22" s="77" t="s">
        <v>537</v>
      </c>
      <c r="D22" s="77" t="s">
        <v>538</v>
      </c>
      <c r="E22" s="77" t="s">
        <v>242</v>
      </c>
      <c r="F22" s="77" t="s">
        <v>30</v>
      </c>
      <c r="G22" s="42">
        <f>(I22+J22)/H22</f>
        <v>59.996379435191884</v>
      </c>
      <c r="H22" s="43">
        <v>7.6722222222222225</v>
      </c>
      <c r="I22" s="43">
        <v>409.55555555555554</v>
      </c>
      <c r="J22" s="43">
        <v>50.749999999999993</v>
      </c>
      <c r="K22" s="47">
        <v>3.05</v>
      </c>
      <c r="L22" s="47">
        <v>143.81</v>
      </c>
      <c r="M22" s="47">
        <v>39.25</v>
      </c>
      <c r="N22" s="50">
        <v>3270</v>
      </c>
      <c r="O22" s="50">
        <v>153114</v>
      </c>
      <c r="P22" s="50">
        <v>43099</v>
      </c>
      <c r="Q22" s="7" t="s">
        <v>20</v>
      </c>
      <c r="R22" s="7"/>
      <c r="S22" s="8" t="s">
        <v>30</v>
      </c>
      <c r="T22" s="8" t="s">
        <v>341</v>
      </c>
      <c r="U22" s="7" t="s">
        <v>651</v>
      </c>
      <c r="W22">
        <v>5</v>
      </c>
      <c r="X22" t="s">
        <v>1923</v>
      </c>
      <c r="Y22">
        <f t="shared" si="0"/>
        <v>167</v>
      </c>
      <c r="Z22" t="str">
        <f t="shared" si="1"/>
        <v>C1-5</v>
      </c>
      <c r="AB22">
        <v>176</v>
      </c>
      <c r="AC22" t="s">
        <v>2092</v>
      </c>
    </row>
    <row r="23" spans="1:29">
      <c r="A23" s="75" t="s">
        <v>251</v>
      </c>
      <c r="B23" s="77" t="str">
        <f>Texte!$B$280</f>
        <v>Paroi extérieure isolée sous terrain (SIA 2032)</v>
      </c>
      <c r="C23" s="75"/>
      <c r="D23" s="75"/>
      <c r="E23" s="75" t="s">
        <v>242</v>
      </c>
      <c r="F23" s="75" t="s">
        <v>30</v>
      </c>
      <c r="G23" s="8">
        <v>60</v>
      </c>
      <c r="H23" s="44">
        <v>8.2651666666666657</v>
      </c>
      <c r="I23" s="44">
        <v>462.78</v>
      </c>
      <c r="J23" s="44">
        <v>33.130000000000003</v>
      </c>
      <c r="K23" s="48">
        <f>(L23+M23)/$G23</f>
        <v>2.7371666666666665</v>
      </c>
      <c r="L23" s="8">
        <v>131.26</v>
      </c>
      <c r="M23" s="8">
        <v>32.97</v>
      </c>
      <c r="N23" s="50">
        <f>(O23+P23)/$G23</f>
        <v>3298.7833333333333</v>
      </c>
      <c r="O23" s="50">
        <v>168941.86</v>
      </c>
      <c r="P23" s="50">
        <v>28985.14</v>
      </c>
      <c r="Q23" s="8" t="s">
        <v>20</v>
      </c>
      <c r="R23" s="8"/>
      <c r="S23" s="8" t="s">
        <v>30</v>
      </c>
      <c r="T23" s="8" t="s">
        <v>341</v>
      </c>
      <c r="U23" s="7" t="s">
        <v>761</v>
      </c>
      <c r="W23">
        <v>1</v>
      </c>
      <c r="X23" t="s">
        <v>1924</v>
      </c>
      <c r="Y23">
        <f t="shared" si="0"/>
        <v>258</v>
      </c>
      <c r="Z23" t="str">
        <f t="shared" si="1"/>
        <v>C211-1</v>
      </c>
      <c r="AB23">
        <v>177</v>
      </c>
      <c r="AC23" t="s">
        <v>2093</v>
      </c>
    </row>
    <row r="24" spans="1:29">
      <c r="A24" s="75" t="s">
        <v>251</v>
      </c>
      <c r="B24" s="77" t="str">
        <f>Texte!$B$279</f>
        <v>Mur extérieur sous terrain non isolé (SIA 2032)</v>
      </c>
      <c r="C24" s="75"/>
      <c r="D24" s="75"/>
      <c r="E24" s="75" t="s">
        <v>242</v>
      </c>
      <c r="F24" s="75" t="s">
        <v>30</v>
      </c>
      <c r="G24" s="8">
        <v>60</v>
      </c>
      <c r="H24" s="44">
        <v>4.6161666666666674</v>
      </c>
      <c r="I24" s="44">
        <v>245.9</v>
      </c>
      <c r="J24" s="44">
        <v>31.07</v>
      </c>
      <c r="K24" s="48">
        <f>(L24+M24)/$G24</f>
        <v>1.5068333333333332</v>
      </c>
      <c r="L24" s="8">
        <v>75.22</v>
      </c>
      <c r="M24" s="8">
        <v>15.19</v>
      </c>
      <c r="N24" s="50">
        <f>(O24+P24)/$G24</f>
        <v>2323.402</v>
      </c>
      <c r="O24" s="50">
        <v>119407.36</v>
      </c>
      <c r="P24" s="50">
        <v>19996.759999999998</v>
      </c>
      <c r="Q24" s="8" t="s">
        <v>19</v>
      </c>
      <c r="R24" s="8"/>
      <c r="S24" s="8" t="s">
        <v>30</v>
      </c>
      <c r="T24" s="8" t="s">
        <v>341</v>
      </c>
      <c r="U24" s="7" t="s">
        <v>761</v>
      </c>
      <c r="W24">
        <v>2</v>
      </c>
      <c r="X24" t="s">
        <v>1925</v>
      </c>
      <c r="Y24">
        <f t="shared" si="0"/>
        <v>257</v>
      </c>
      <c r="Z24" t="str">
        <f t="shared" si="1"/>
        <v>C211-2</v>
      </c>
      <c r="AB24">
        <v>178</v>
      </c>
      <c r="AC24" t="s">
        <v>2094</v>
      </c>
    </row>
    <row r="25" spans="1:29">
      <c r="A25" s="77" t="s">
        <v>251</v>
      </c>
      <c r="B25" s="77" t="str">
        <f>Texte!$B$190</f>
        <v>Paroi en béton 25cm sans isolation, plaques filtrantes (CC)</v>
      </c>
      <c r="C25" s="77" t="s">
        <v>567</v>
      </c>
      <c r="D25" s="77" t="s">
        <v>568</v>
      </c>
      <c r="E25" s="77" t="s">
        <v>242</v>
      </c>
      <c r="F25" s="77" t="s">
        <v>30</v>
      </c>
      <c r="G25" s="42">
        <f>(I25+J25)/H25</f>
        <v>59.988016776512879</v>
      </c>
      <c r="H25" s="43">
        <v>4.6361111111111111</v>
      </c>
      <c r="I25" s="43">
        <v>244.9722222222222</v>
      </c>
      <c r="J25" s="43">
        <v>33.138888888888886</v>
      </c>
      <c r="K25" s="47">
        <v>1.75</v>
      </c>
      <c r="L25" s="47">
        <v>87.05</v>
      </c>
      <c r="M25" s="47">
        <v>18.010000000000002</v>
      </c>
      <c r="N25" s="50">
        <v>2110</v>
      </c>
      <c r="O25" s="50">
        <v>102726</v>
      </c>
      <c r="P25" s="50">
        <v>23895</v>
      </c>
      <c r="Q25" s="7" t="s">
        <v>19</v>
      </c>
      <c r="R25" s="7"/>
      <c r="S25" s="8" t="s">
        <v>30</v>
      </c>
      <c r="T25" s="8" t="s">
        <v>341</v>
      </c>
      <c r="U25" s="7" t="s">
        <v>651</v>
      </c>
      <c r="W25">
        <v>3</v>
      </c>
      <c r="X25" t="s">
        <v>1926</v>
      </c>
      <c r="Y25">
        <f t="shared" si="0"/>
        <v>168</v>
      </c>
      <c r="Z25" t="str">
        <f t="shared" si="1"/>
        <v>C211-3</v>
      </c>
      <c r="AB25">
        <v>179</v>
      </c>
      <c r="AC25" t="s">
        <v>2095</v>
      </c>
    </row>
    <row r="26" spans="1:29">
      <c r="A26" s="77" t="s">
        <v>251</v>
      </c>
      <c r="B26" s="77" t="str">
        <f>Texte!$B$191</f>
        <v>Paroi en béton 25cm, isolation extérieure, plaques filtrantes (CC)</v>
      </c>
      <c r="C26" s="77" t="s">
        <v>569</v>
      </c>
      <c r="D26" s="77" t="s">
        <v>570</v>
      </c>
      <c r="E26" s="77" t="s">
        <v>242</v>
      </c>
      <c r="F26" s="77" t="s">
        <v>30</v>
      </c>
      <c r="G26" s="42">
        <f>(I26+J26)/H26</f>
        <v>60.003753753753742</v>
      </c>
      <c r="H26" s="43">
        <v>7.4</v>
      </c>
      <c r="I26" s="43">
        <v>410.4444444444444</v>
      </c>
      <c r="J26" s="43">
        <v>33.583333333333336</v>
      </c>
      <c r="K26" s="47">
        <v>3.18</v>
      </c>
      <c r="L26" s="47">
        <v>153.76</v>
      </c>
      <c r="M26" s="47">
        <v>36.92</v>
      </c>
      <c r="N26" s="50">
        <v>2959</v>
      </c>
      <c r="O26" s="50">
        <v>141658</v>
      </c>
      <c r="P26" s="50">
        <v>35893</v>
      </c>
      <c r="Q26" s="7" t="s">
        <v>20</v>
      </c>
      <c r="R26" s="7"/>
      <c r="S26" s="8" t="s">
        <v>30</v>
      </c>
      <c r="T26" s="8" t="s">
        <v>341</v>
      </c>
      <c r="U26" s="7" t="s">
        <v>651</v>
      </c>
      <c r="W26">
        <v>4</v>
      </c>
      <c r="X26" t="s">
        <v>1927</v>
      </c>
      <c r="Y26">
        <f t="shared" si="0"/>
        <v>169</v>
      </c>
      <c r="Z26" t="str">
        <f t="shared" si="1"/>
        <v>C211-4</v>
      </c>
      <c r="AB26">
        <v>180</v>
      </c>
      <c r="AC26" t="s">
        <v>2096</v>
      </c>
    </row>
    <row r="27" spans="1:29">
      <c r="A27" s="77" t="s">
        <v>251</v>
      </c>
      <c r="B27" s="77" t="str">
        <f>Texte!$B$192</f>
        <v>Paroi en béton 25cm, isolation intérieure avec parement, plaques filtrantes (CC)</v>
      </c>
      <c r="C27" s="77" t="s">
        <v>571</v>
      </c>
      <c r="D27" s="77" t="s">
        <v>572</v>
      </c>
      <c r="E27" s="77" t="s">
        <v>242</v>
      </c>
      <c r="F27" s="77" t="s">
        <v>30</v>
      </c>
      <c r="G27" s="42">
        <f>(I27+J27)/H27</f>
        <v>42.345244086562651</v>
      </c>
      <c r="H27" s="43">
        <v>11.03888888888889</v>
      </c>
      <c r="I27" s="43">
        <v>432.91666666666663</v>
      </c>
      <c r="J27" s="43">
        <v>34.527777777777779</v>
      </c>
      <c r="K27" s="47">
        <v>4.8099999999999996</v>
      </c>
      <c r="L27" s="47">
        <v>158.35</v>
      </c>
      <c r="M27" s="47">
        <v>38.42</v>
      </c>
      <c r="N27" s="50">
        <v>4012</v>
      </c>
      <c r="O27" s="50">
        <v>146436</v>
      </c>
      <c r="P27" s="50">
        <v>37240</v>
      </c>
      <c r="Q27" s="7" t="s">
        <v>20</v>
      </c>
      <c r="R27" s="7"/>
      <c r="S27" s="8" t="s">
        <v>30</v>
      </c>
      <c r="T27" s="8" t="s">
        <v>341</v>
      </c>
      <c r="U27" s="7" t="s">
        <v>651</v>
      </c>
      <c r="W27">
        <v>5</v>
      </c>
      <c r="X27" t="s">
        <v>1928</v>
      </c>
      <c r="Y27">
        <f t="shared" si="0"/>
        <v>170</v>
      </c>
      <c r="Z27" t="str">
        <f t="shared" si="1"/>
        <v>C211-5</v>
      </c>
      <c r="AB27">
        <v>181</v>
      </c>
      <c r="AC27" t="s">
        <v>2097</v>
      </c>
    </row>
    <row r="28" spans="1:29">
      <c r="A28" s="77" t="s">
        <v>252</v>
      </c>
      <c r="B28" s="77" t="str">
        <f>Texte!$B$193</f>
        <v>Paroi extérieure primaire en bois massif, doublage intérieur avec parement simple (lignum)</v>
      </c>
      <c r="C28" s="77" t="s">
        <v>505</v>
      </c>
      <c r="D28" s="77" t="s">
        <v>497</v>
      </c>
      <c r="E28" s="77" t="s">
        <v>242</v>
      </c>
      <c r="F28" s="77" t="s">
        <v>30</v>
      </c>
      <c r="G28" s="7">
        <v>60</v>
      </c>
      <c r="H28" s="43">
        <v>4.4537037037037042</v>
      </c>
      <c r="I28" s="43">
        <v>0</v>
      </c>
      <c r="J28" s="43">
        <v>0</v>
      </c>
      <c r="K28" s="47">
        <v>0.8829999999999999</v>
      </c>
      <c r="L28" s="47"/>
      <c r="M28" s="47"/>
      <c r="N28" s="50">
        <v>1514.7333333333333</v>
      </c>
      <c r="O28" s="50"/>
      <c r="P28" s="50"/>
      <c r="Q28" s="7" t="s">
        <v>20</v>
      </c>
      <c r="R28" s="7"/>
      <c r="S28" s="8" t="s">
        <v>30</v>
      </c>
      <c r="T28" s="8" t="s">
        <v>341</v>
      </c>
      <c r="U28" s="7" t="s">
        <v>652</v>
      </c>
      <c r="W28">
        <v>1</v>
      </c>
      <c r="X28" t="s">
        <v>1929</v>
      </c>
      <c r="Y28">
        <f t="shared" si="0"/>
        <v>171</v>
      </c>
      <c r="Z28" t="str">
        <f t="shared" si="1"/>
        <v>C212-1</v>
      </c>
      <c r="AB28">
        <v>182</v>
      </c>
      <c r="AC28" t="s">
        <v>2098</v>
      </c>
    </row>
    <row r="29" spans="1:29">
      <c r="A29" s="77" t="s">
        <v>252</v>
      </c>
      <c r="B29" s="77" t="str">
        <f>Texte!$B$194</f>
        <v>Paroi extérieure primaire ossature bois, doublage intérieur avec parement simple (lignum)</v>
      </c>
      <c r="C29" s="77" t="s">
        <v>504</v>
      </c>
      <c r="D29" s="77" t="s">
        <v>496</v>
      </c>
      <c r="E29" s="77" t="s">
        <v>242</v>
      </c>
      <c r="F29" s="77" t="s">
        <v>30</v>
      </c>
      <c r="G29" s="7">
        <v>60</v>
      </c>
      <c r="H29" s="43">
        <v>2.7870370370370368</v>
      </c>
      <c r="I29" s="43">
        <v>0</v>
      </c>
      <c r="J29" s="43">
        <v>0</v>
      </c>
      <c r="K29" s="47">
        <v>0.59733333333333338</v>
      </c>
      <c r="L29" s="47"/>
      <c r="M29" s="47"/>
      <c r="N29" s="50">
        <v>783.9</v>
      </c>
      <c r="O29" s="50"/>
      <c r="P29" s="50"/>
      <c r="Q29" s="7" t="s">
        <v>20</v>
      </c>
      <c r="R29" s="7"/>
      <c r="S29" s="8" t="s">
        <v>30</v>
      </c>
      <c r="T29" s="8" t="s">
        <v>341</v>
      </c>
      <c r="U29" s="7" t="s">
        <v>652</v>
      </c>
      <c r="W29">
        <v>2</v>
      </c>
      <c r="X29" t="s">
        <v>1930</v>
      </c>
      <c r="Y29">
        <f t="shared" si="0"/>
        <v>172</v>
      </c>
      <c r="Z29" t="str">
        <f t="shared" si="1"/>
        <v>C212-2</v>
      </c>
      <c r="AB29">
        <v>183</v>
      </c>
      <c r="AC29" t="s">
        <v>2101</v>
      </c>
    </row>
    <row r="30" spans="1:29">
      <c r="A30" s="75" t="s">
        <v>252</v>
      </c>
      <c r="B30" s="77" t="str">
        <f>Texte!$B$287</f>
        <v>Mur en briques avec enduit intérieur, double paroi (SIA 2032)</v>
      </c>
      <c r="C30" s="75"/>
      <c r="D30" s="75"/>
      <c r="E30" s="75" t="s">
        <v>242</v>
      </c>
      <c r="F30" s="75" t="s">
        <v>30</v>
      </c>
      <c r="G30" s="8">
        <v>42</v>
      </c>
      <c r="H30" s="44">
        <v>10.063867033333331</v>
      </c>
      <c r="I30" s="44">
        <v>409.21360000000004</v>
      </c>
      <c r="J30" s="44">
        <v>20.152518000000004</v>
      </c>
      <c r="K30" s="48">
        <v>3.17469716</v>
      </c>
      <c r="L30" s="53">
        <v>132.6225</v>
      </c>
      <c r="M30" s="53">
        <v>4.1059374000000002</v>
      </c>
      <c r="N30" s="50">
        <v>2884.3068666666672</v>
      </c>
      <c r="O30" s="50">
        <v>113364.70000000001</v>
      </c>
      <c r="P30" s="50">
        <v>9763.9480000000003</v>
      </c>
      <c r="Q30" s="8" t="s">
        <v>20</v>
      </c>
      <c r="R30" s="8"/>
      <c r="S30" s="8" t="s">
        <v>30</v>
      </c>
      <c r="T30" s="8" t="s">
        <v>341</v>
      </c>
      <c r="U30" s="7" t="s">
        <v>761</v>
      </c>
      <c r="W30">
        <v>3</v>
      </c>
      <c r="X30" t="s">
        <v>1931</v>
      </c>
      <c r="Y30">
        <f t="shared" si="0"/>
        <v>265</v>
      </c>
      <c r="Z30" t="str">
        <f t="shared" si="1"/>
        <v>C212-3</v>
      </c>
      <c r="AB30">
        <v>184</v>
      </c>
      <c r="AC30" t="s">
        <v>2102</v>
      </c>
    </row>
    <row r="31" spans="1:29">
      <c r="A31" s="75" t="s">
        <v>252</v>
      </c>
      <c r="B31" s="77" t="str">
        <f>Texte!$B$288</f>
        <v>Mur en briques avec enduit intérieur, revêtement en fibrociment/pierre (SIA 2032)</v>
      </c>
      <c r="C31" s="75"/>
      <c r="D31" s="75"/>
      <c r="E31" s="75" t="s">
        <v>242</v>
      </c>
      <c r="F31" s="75" t="s">
        <v>30</v>
      </c>
      <c r="G31" s="8">
        <v>42</v>
      </c>
      <c r="H31" s="44">
        <v>8.1597471624999969</v>
      </c>
      <c r="I31" s="44">
        <v>339.05445416666669</v>
      </c>
      <c r="J31" s="44">
        <v>14.146869000000002</v>
      </c>
      <c r="K31" s="48">
        <v>2.1583820344337603</v>
      </c>
      <c r="L31" s="53">
        <v>93.025331677350437</v>
      </c>
      <c r="M31" s="53">
        <v>3.0505007000000002</v>
      </c>
      <c r="N31" s="50">
        <v>2200.1420107905988</v>
      </c>
      <c r="O31" s="50">
        <v>89038.869764957271</v>
      </c>
      <c r="P31" s="50">
        <v>6723.1840000000002</v>
      </c>
      <c r="Q31" s="8" t="s">
        <v>20</v>
      </c>
      <c r="R31" s="8"/>
      <c r="S31" s="8" t="s">
        <v>30</v>
      </c>
      <c r="T31" s="8" t="s">
        <v>341</v>
      </c>
      <c r="U31" s="7" t="s">
        <v>761</v>
      </c>
      <c r="W31">
        <v>4</v>
      </c>
      <c r="X31" t="s">
        <v>1932</v>
      </c>
      <c r="Y31">
        <f t="shared" si="0"/>
        <v>266</v>
      </c>
      <c r="Z31" t="str">
        <f t="shared" si="1"/>
        <v>C212-4</v>
      </c>
      <c r="AB31">
        <v>185</v>
      </c>
      <c r="AC31" t="s">
        <v>2103</v>
      </c>
    </row>
    <row r="32" spans="1:29">
      <c r="A32" s="75" t="s">
        <v>252</v>
      </c>
      <c r="B32" s="77" t="str">
        <f>Texte!$B$289</f>
        <v>Mur en briques avec enduit intérieur, revêtementen bois (SIA 2032)</v>
      </c>
      <c r="C32" s="75"/>
      <c r="D32" s="75"/>
      <c r="E32" s="75" t="s">
        <v>242</v>
      </c>
      <c r="F32" s="75" t="s">
        <v>30</v>
      </c>
      <c r="G32" s="8">
        <v>42</v>
      </c>
      <c r="H32" s="44">
        <v>5.9280046608333308</v>
      </c>
      <c r="I32" s="44">
        <v>251.62047000000001</v>
      </c>
      <c r="J32" s="44">
        <v>12.311153100000002</v>
      </c>
      <c r="K32" s="48">
        <v>1.5775585087499999</v>
      </c>
      <c r="L32" s="53">
        <v>69.307242500000001</v>
      </c>
      <c r="M32" s="53">
        <v>3.5356488500000003</v>
      </c>
      <c r="N32" s="50">
        <v>1847.8339741666668</v>
      </c>
      <c r="O32" s="50">
        <v>75287.156000000003</v>
      </c>
      <c r="P32" s="50">
        <v>6382.5763000000006</v>
      </c>
      <c r="Q32" s="8" t="s">
        <v>20</v>
      </c>
      <c r="R32" s="8"/>
      <c r="S32" s="8" t="s">
        <v>30</v>
      </c>
      <c r="T32" s="8" t="s">
        <v>341</v>
      </c>
      <c r="U32" s="7" t="s">
        <v>761</v>
      </c>
      <c r="W32">
        <v>5</v>
      </c>
      <c r="X32" t="s">
        <v>1933</v>
      </c>
      <c r="Y32">
        <f t="shared" si="0"/>
        <v>267</v>
      </c>
      <c r="Z32" t="str">
        <f t="shared" si="1"/>
        <v>C212-5</v>
      </c>
      <c r="AB32">
        <v>186</v>
      </c>
      <c r="AC32" t="s">
        <v>2104</v>
      </c>
    </row>
    <row r="33" spans="1:29">
      <c r="A33" s="75" t="s">
        <v>252</v>
      </c>
      <c r="B33" s="77" t="str">
        <f>Texte!$B$290</f>
        <v>Mur en briques avec enduit intérieur, revêtement en métal/verre (SIA 2032)</v>
      </c>
      <c r="C33" s="75"/>
      <c r="D33" s="75"/>
      <c r="E33" s="75" t="s">
        <v>242</v>
      </c>
      <c r="F33" s="75" t="s">
        <v>30</v>
      </c>
      <c r="G33" s="8">
        <v>42</v>
      </c>
      <c r="H33" s="44">
        <v>11.582977287499997</v>
      </c>
      <c r="I33" s="44">
        <v>477.09785416666659</v>
      </c>
      <c r="J33" s="44">
        <v>13.032674000000002</v>
      </c>
      <c r="K33" s="48">
        <v>2.9094727001388883</v>
      </c>
      <c r="L33" s="53">
        <v>119.06726180555555</v>
      </c>
      <c r="M33" s="53">
        <v>7.0521972000000002</v>
      </c>
      <c r="N33" s="50">
        <v>3015.1850652777775</v>
      </c>
      <c r="O33" s="50">
        <v>120445.23194444443</v>
      </c>
      <c r="P33" s="50">
        <v>7918.5439999999999</v>
      </c>
      <c r="Q33" s="8" t="s">
        <v>20</v>
      </c>
      <c r="R33" s="8"/>
      <c r="S33" s="8" t="s">
        <v>30</v>
      </c>
      <c r="T33" s="8" t="s">
        <v>341</v>
      </c>
      <c r="U33" s="7" t="s">
        <v>761</v>
      </c>
      <c r="W33">
        <v>6</v>
      </c>
      <c r="X33" t="s">
        <v>1934</v>
      </c>
      <c r="Y33">
        <f t="shared" si="0"/>
        <v>268</v>
      </c>
      <c r="Z33" t="str">
        <f t="shared" si="1"/>
        <v>C212-6</v>
      </c>
      <c r="AB33">
        <v>187</v>
      </c>
      <c r="AC33" t="s">
        <v>2105</v>
      </c>
    </row>
    <row r="34" spans="1:29">
      <c r="A34" s="75" t="s">
        <v>252</v>
      </c>
      <c r="B34" s="77" t="str">
        <f>Texte!$B$291</f>
        <v>Mur en briques avec enduit intérieur, isolation extérieure crépie (SIA 2032)</v>
      </c>
      <c r="C34" s="75"/>
      <c r="D34" s="75"/>
      <c r="E34" s="75" t="s">
        <v>242</v>
      </c>
      <c r="F34" s="75" t="s">
        <v>30</v>
      </c>
      <c r="G34" s="8">
        <v>39</v>
      </c>
      <c r="H34" s="44">
        <v>7.7843524166666604</v>
      </c>
      <c r="I34" s="44">
        <v>280.75422500000002</v>
      </c>
      <c r="J34" s="44">
        <v>13.403352500000002</v>
      </c>
      <c r="K34" s="48">
        <v>2.2586531916666663</v>
      </c>
      <c r="L34" s="53">
        <v>80.51155</v>
      </c>
      <c r="M34" s="53">
        <v>8.185167250000001</v>
      </c>
      <c r="N34" s="50">
        <v>1979.0583333333334</v>
      </c>
      <c r="O34" s="50">
        <v>68374.8</v>
      </c>
      <c r="P34" s="50">
        <v>8642.8100000000013</v>
      </c>
      <c r="Q34" s="8" t="s">
        <v>20</v>
      </c>
      <c r="R34" s="8"/>
      <c r="S34" s="8" t="s">
        <v>30</v>
      </c>
      <c r="T34" s="8" t="s">
        <v>341</v>
      </c>
      <c r="U34" s="7" t="s">
        <v>761</v>
      </c>
      <c r="W34">
        <v>7</v>
      </c>
      <c r="X34" t="s">
        <v>1935</v>
      </c>
      <c r="Y34">
        <f t="shared" si="0"/>
        <v>269</v>
      </c>
      <c r="Z34" t="str">
        <f t="shared" si="1"/>
        <v>C212-7</v>
      </c>
      <c r="AB34">
        <v>188</v>
      </c>
      <c r="AC34" t="s">
        <v>2106</v>
      </c>
    </row>
    <row r="35" spans="1:29">
      <c r="A35" s="75" t="s">
        <v>252</v>
      </c>
      <c r="B35" s="77" t="str">
        <f>Texte!$B$283</f>
        <v>Mur en béton avec enduit intérieur, parois extérieur en briques (SIA 2032)</v>
      </c>
      <c r="C35" s="75"/>
      <c r="D35" s="75"/>
      <c r="E35" s="75" t="s">
        <v>242</v>
      </c>
      <c r="F35" s="75" t="s">
        <v>30</v>
      </c>
      <c r="G35" s="8">
        <v>49</v>
      </c>
      <c r="H35" s="44">
        <v>10.276493946284502</v>
      </c>
      <c r="I35" s="44">
        <v>427.68462038216563</v>
      </c>
      <c r="J35" s="44">
        <v>34.848962394904461</v>
      </c>
      <c r="K35" s="48">
        <v>3.2803793063906586</v>
      </c>
      <c r="L35" s="53">
        <v>141.02148089171976</v>
      </c>
      <c r="M35" s="53">
        <v>8.3741802917197461</v>
      </c>
      <c r="N35" s="50">
        <v>3845.7318443736731</v>
      </c>
      <c r="O35" s="50">
        <v>168531.38980891719</v>
      </c>
      <c r="P35" s="50">
        <v>18294.056853503185</v>
      </c>
      <c r="Q35" s="8" t="s">
        <v>20</v>
      </c>
      <c r="R35" s="8"/>
      <c r="S35" s="8" t="s">
        <v>30</v>
      </c>
      <c r="T35" s="8" t="s">
        <v>341</v>
      </c>
      <c r="U35" s="7" t="s">
        <v>761</v>
      </c>
      <c r="W35">
        <v>8</v>
      </c>
      <c r="X35" t="s">
        <v>1936</v>
      </c>
      <c r="Y35">
        <f t="shared" si="0"/>
        <v>261</v>
      </c>
      <c r="Z35" t="str">
        <f t="shared" si="1"/>
        <v>C212-8</v>
      </c>
      <c r="AB35">
        <v>189</v>
      </c>
      <c r="AC35" t="s">
        <v>2107</v>
      </c>
    </row>
    <row r="36" spans="1:29">
      <c r="A36" s="75" t="s">
        <v>252</v>
      </c>
      <c r="B36" s="77" t="str">
        <f>Texte!$B$284</f>
        <v>Mur en béton avec enduit intérieur, revêtement en fibrociment/pierre (SIA 2032)</v>
      </c>
      <c r="C36" s="75"/>
      <c r="D36" s="75"/>
      <c r="E36" s="75" t="s">
        <v>242</v>
      </c>
      <c r="F36" s="75" t="s">
        <v>30</v>
      </c>
      <c r="G36" s="8">
        <v>50</v>
      </c>
      <c r="H36" s="44">
        <v>8.372374075451166</v>
      </c>
      <c r="I36" s="44">
        <v>357.52547454883228</v>
      </c>
      <c r="J36" s="44">
        <v>28.843313394904463</v>
      </c>
      <c r="K36" s="48">
        <v>2.2640641808244188</v>
      </c>
      <c r="L36" s="53">
        <v>101.42431256907017</v>
      </c>
      <c r="M36" s="53">
        <v>7.3187435917197465</v>
      </c>
      <c r="N36" s="50">
        <v>3161.5669884976051</v>
      </c>
      <c r="O36" s="50">
        <v>144205.55957387446</v>
      </c>
      <c r="P36" s="50">
        <v>15253.292853503186</v>
      </c>
      <c r="Q36" s="8" t="s">
        <v>20</v>
      </c>
      <c r="R36" s="8"/>
      <c r="S36" s="8" t="s">
        <v>30</v>
      </c>
      <c r="T36" s="8" t="s">
        <v>341</v>
      </c>
      <c r="U36" s="7" t="s">
        <v>761</v>
      </c>
      <c r="W36">
        <v>9</v>
      </c>
      <c r="X36" t="s">
        <v>1937</v>
      </c>
      <c r="Y36">
        <f t="shared" si="0"/>
        <v>262</v>
      </c>
      <c r="Z36" t="str">
        <f t="shared" si="1"/>
        <v>C212-9</v>
      </c>
      <c r="AB36">
        <v>190</v>
      </c>
      <c r="AC36" t="s">
        <v>2108</v>
      </c>
    </row>
    <row r="37" spans="1:29">
      <c r="A37" s="75" t="s">
        <v>252</v>
      </c>
      <c r="B37" s="77" t="str">
        <f>Texte!$B$285</f>
        <v>Mur en béton avec enduit intérieur, revêtement en métal/verre (SIA 2032)</v>
      </c>
      <c r="C37" s="75"/>
      <c r="D37" s="75"/>
      <c r="E37" s="75" t="s">
        <v>242</v>
      </c>
      <c r="F37" s="75" t="s">
        <v>30</v>
      </c>
      <c r="G37" s="8">
        <v>48</v>
      </c>
      <c r="H37" s="44">
        <v>11.795604200451166</v>
      </c>
      <c r="I37" s="44">
        <v>495.56887454883224</v>
      </c>
      <c r="J37" s="44">
        <v>27.729118394904461</v>
      </c>
      <c r="K37" s="48">
        <v>3.0151548465295468</v>
      </c>
      <c r="L37" s="53">
        <v>127.46624269727529</v>
      </c>
      <c r="M37" s="53">
        <v>11.320440091719746</v>
      </c>
      <c r="N37" s="50">
        <v>3976.6100429847838</v>
      </c>
      <c r="O37" s="50">
        <v>175611.92175336162</v>
      </c>
      <c r="P37" s="50">
        <v>16448.652853503187</v>
      </c>
      <c r="Q37" s="8" t="s">
        <v>20</v>
      </c>
      <c r="R37" s="8"/>
      <c r="S37" s="8" t="s">
        <v>30</v>
      </c>
      <c r="T37" s="8" t="s">
        <v>341</v>
      </c>
      <c r="U37" s="7" t="s">
        <v>761</v>
      </c>
      <c r="W37">
        <v>10</v>
      </c>
      <c r="X37" t="s">
        <v>1938</v>
      </c>
      <c r="Y37">
        <f t="shared" si="0"/>
        <v>263</v>
      </c>
      <c r="Z37" t="str">
        <f t="shared" si="1"/>
        <v>C212-10</v>
      </c>
      <c r="AB37">
        <v>191</v>
      </c>
      <c r="AC37" t="s">
        <v>2109</v>
      </c>
    </row>
    <row r="38" spans="1:29">
      <c r="A38" s="75" t="s">
        <v>252</v>
      </c>
      <c r="B38" s="77" t="str">
        <f>Texte!$B$286</f>
        <v>Mur en béton avec enduit intérieur, isolation extérieure crépie (SIA 2032)</v>
      </c>
      <c r="C38" s="75"/>
      <c r="D38" s="75"/>
      <c r="E38" s="75" t="s">
        <v>242</v>
      </c>
      <c r="F38" s="75" t="s">
        <v>30</v>
      </c>
      <c r="G38" s="8">
        <v>48</v>
      </c>
      <c r="H38" s="44">
        <v>7.9969793296178313</v>
      </c>
      <c r="I38" s="44">
        <v>299.22524538216561</v>
      </c>
      <c r="J38" s="44">
        <v>28.099796894904465</v>
      </c>
      <c r="K38" s="48">
        <v>2.3643353380573249</v>
      </c>
      <c r="L38" s="53">
        <v>88.910530891719745</v>
      </c>
      <c r="M38" s="53">
        <v>12.453410141719747</v>
      </c>
      <c r="N38" s="50">
        <v>2940.4833110403397</v>
      </c>
      <c r="O38" s="50">
        <v>123541.48980891719</v>
      </c>
      <c r="P38" s="50">
        <v>17172.918853503186</v>
      </c>
      <c r="Q38" s="8" t="s">
        <v>20</v>
      </c>
      <c r="R38" s="8"/>
      <c r="S38" s="8" t="s">
        <v>30</v>
      </c>
      <c r="T38" s="8" t="s">
        <v>341</v>
      </c>
      <c r="U38" s="7" t="s">
        <v>761</v>
      </c>
      <c r="W38">
        <v>11</v>
      </c>
      <c r="X38" t="s">
        <v>1939</v>
      </c>
      <c r="Y38">
        <f t="shared" si="0"/>
        <v>264</v>
      </c>
      <c r="Z38" t="str">
        <f t="shared" si="1"/>
        <v>C212-11</v>
      </c>
      <c r="AB38">
        <v>192</v>
      </c>
      <c r="AC38" t="s">
        <v>2110</v>
      </c>
    </row>
    <row r="39" spans="1:29">
      <c r="A39" s="75" t="s">
        <v>252</v>
      </c>
      <c r="B39" s="77" t="str">
        <f>Texte!$B$295</f>
        <v>Maçonnerie isolante en briques avec enduit intérieur et extérieur (SIA 2032)</v>
      </c>
      <c r="C39" s="75"/>
      <c r="D39" s="75"/>
      <c r="E39" s="75" t="s">
        <v>242</v>
      </c>
      <c r="F39" s="75" t="s">
        <v>30</v>
      </c>
      <c r="G39" s="8">
        <v>56</v>
      </c>
      <c r="H39" s="44">
        <v>7.6175259666666646</v>
      </c>
      <c r="I39" s="44">
        <v>382.0262249999999</v>
      </c>
      <c r="J39" s="44">
        <v>16.925525499999999</v>
      </c>
      <c r="K39" s="48">
        <v>2.183743363333333</v>
      </c>
      <c r="L39" s="53">
        <v>108.65345999999998</v>
      </c>
      <c r="M39" s="53">
        <v>3.6094595499999991</v>
      </c>
      <c r="N39" s="50">
        <v>1947.7177333333329</v>
      </c>
      <c r="O39" s="50">
        <v>90515.98</v>
      </c>
      <c r="P39" s="50">
        <v>8587.3939999999984</v>
      </c>
      <c r="Q39" s="8" t="s">
        <v>20</v>
      </c>
      <c r="R39" s="8"/>
      <c r="S39" s="8" t="s">
        <v>30</v>
      </c>
      <c r="T39" s="8" t="s">
        <v>341</v>
      </c>
      <c r="U39" s="7" t="s">
        <v>761</v>
      </c>
      <c r="W39">
        <v>12</v>
      </c>
      <c r="X39" t="s">
        <v>2047</v>
      </c>
      <c r="Y39">
        <f t="shared" si="0"/>
        <v>273</v>
      </c>
      <c r="Z39" t="str">
        <f t="shared" si="1"/>
        <v>C212-12</v>
      </c>
      <c r="AB39">
        <v>193</v>
      </c>
      <c r="AC39" t="s">
        <v>2111</v>
      </c>
    </row>
    <row r="40" spans="1:29">
      <c r="A40" s="75" t="s">
        <v>252</v>
      </c>
      <c r="B40" s="77" t="str">
        <f>Texte!$B$296</f>
        <v>Maçonnerie isolante en briques avec enduit intérieur, isolation ext. crépie (SIA 2032)</v>
      </c>
      <c r="C40" s="75"/>
      <c r="D40" s="75"/>
      <c r="E40" s="75" t="s">
        <v>242</v>
      </c>
      <c r="F40" s="75" t="s">
        <v>30</v>
      </c>
      <c r="G40" s="8">
        <v>48</v>
      </c>
      <c r="H40" s="44">
        <v>11.444317966666663</v>
      </c>
      <c r="I40" s="44">
        <v>495.85622499999988</v>
      </c>
      <c r="J40" s="44">
        <v>17.899285499999998</v>
      </c>
      <c r="K40" s="48">
        <v>3.1191030966666662</v>
      </c>
      <c r="L40" s="53">
        <v>131.30415999999997</v>
      </c>
      <c r="M40" s="53">
        <v>9.0195515499999992</v>
      </c>
      <c r="N40" s="50">
        <v>2746.5910666666664</v>
      </c>
      <c r="O40" s="50">
        <v>111567.98</v>
      </c>
      <c r="P40" s="50">
        <v>11501.593999999999</v>
      </c>
      <c r="Q40" s="8" t="s">
        <v>20</v>
      </c>
      <c r="R40" s="8"/>
      <c r="S40" s="8" t="s">
        <v>30</v>
      </c>
      <c r="T40" s="8" t="s">
        <v>341</v>
      </c>
      <c r="U40" s="7" t="s">
        <v>761</v>
      </c>
      <c r="W40">
        <v>13</v>
      </c>
      <c r="X40" t="s">
        <v>2048</v>
      </c>
      <c r="Y40">
        <f t="shared" si="0"/>
        <v>274</v>
      </c>
      <c r="Z40" t="str">
        <f t="shared" si="1"/>
        <v>C212-13</v>
      </c>
      <c r="AB40">
        <v>194</v>
      </c>
      <c r="AC40" t="s">
        <v>2112</v>
      </c>
    </row>
    <row r="41" spans="1:29">
      <c r="A41" s="75" t="s">
        <v>252</v>
      </c>
      <c r="B41" s="77" t="str">
        <f>Texte!$B$292</f>
        <v>Mur en bois, revêtement int. en plâtre, revêtement ext. en fibrociment/pierre (SIA 2032)</v>
      </c>
      <c r="C41" s="75"/>
      <c r="D41" s="75"/>
      <c r="E41" s="75" t="s">
        <v>242</v>
      </c>
      <c r="F41" s="75" t="s">
        <v>30</v>
      </c>
      <c r="G41" s="8">
        <v>42</v>
      </c>
      <c r="H41" s="44">
        <v>5.9633039458333323</v>
      </c>
      <c r="I41" s="44">
        <v>233.37337416666668</v>
      </c>
      <c r="J41" s="44">
        <v>5.5393474999999999</v>
      </c>
      <c r="K41" s="48">
        <v>1.3044654144337606</v>
      </c>
      <c r="L41" s="53">
        <v>49.465459677350431</v>
      </c>
      <c r="M41" s="53">
        <v>2.4919075999999998</v>
      </c>
      <c r="N41" s="50">
        <v>1694.0468607905987</v>
      </c>
      <c r="O41" s="50">
        <v>67571.64976495727</v>
      </c>
      <c r="P41" s="50">
        <v>3769.1644999999999</v>
      </c>
      <c r="Q41" s="8" t="s">
        <v>20</v>
      </c>
      <c r="R41" s="8"/>
      <c r="S41" s="8" t="s">
        <v>30</v>
      </c>
      <c r="T41" s="8" t="s">
        <v>341</v>
      </c>
      <c r="U41" s="7" t="s">
        <v>761</v>
      </c>
      <c r="W41">
        <v>14</v>
      </c>
      <c r="X41" t="s">
        <v>2049</v>
      </c>
      <c r="Y41">
        <f t="shared" si="0"/>
        <v>270</v>
      </c>
      <c r="Z41" t="str">
        <f t="shared" si="1"/>
        <v>C212-14</v>
      </c>
      <c r="AB41">
        <v>195</v>
      </c>
      <c r="AC41" t="s">
        <v>2113</v>
      </c>
    </row>
    <row r="42" spans="1:29">
      <c r="A42" s="75" t="s">
        <v>252</v>
      </c>
      <c r="B42" s="77" t="str">
        <f>Texte!$B$293</f>
        <v>Mur en bois, revêtement int. en plâtre, revêtement ext. en bois (SIA 2032)</v>
      </c>
      <c r="C42" s="75"/>
      <c r="D42" s="75"/>
      <c r="E42" s="75" t="s">
        <v>242</v>
      </c>
      <c r="F42" s="75" t="s">
        <v>30</v>
      </c>
      <c r="G42" s="8">
        <v>43</v>
      </c>
      <c r="H42" s="44">
        <v>3.7315614441666671</v>
      </c>
      <c r="I42" s="44">
        <v>145.93939</v>
      </c>
      <c r="J42" s="44">
        <v>3.7036316000000005</v>
      </c>
      <c r="K42" s="48">
        <v>0.72364188875000002</v>
      </c>
      <c r="L42" s="53">
        <v>25.747370500000002</v>
      </c>
      <c r="M42" s="53">
        <v>2.9770557499999999</v>
      </c>
      <c r="N42" s="50">
        <v>1341.7388241666667</v>
      </c>
      <c r="O42" s="50">
        <v>53819.936000000002</v>
      </c>
      <c r="P42" s="50">
        <v>3428.5568000000003</v>
      </c>
      <c r="Q42" s="8" t="s">
        <v>20</v>
      </c>
      <c r="R42" s="8"/>
      <c r="S42" s="8" t="s">
        <v>30</v>
      </c>
      <c r="T42" s="8" t="s">
        <v>341</v>
      </c>
      <c r="U42" s="7" t="s">
        <v>761</v>
      </c>
      <c r="W42">
        <v>15</v>
      </c>
      <c r="X42" t="s">
        <v>2050</v>
      </c>
      <c r="Y42">
        <f t="shared" si="0"/>
        <v>271</v>
      </c>
      <c r="Z42" t="str">
        <f t="shared" si="1"/>
        <v>C212-15</v>
      </c>
      <c r="AB42">
        <v>196</v>
      </c>
      <c r="AC42" t="s">
        <v>2114</v>
      </c>
    </row>
    <row r="43" spans="1:29">
      <c r="A43" s="75" t="s">
        <v>252</v>
      </c>
      <c r="B43" s="77" t="str">
        <f>Texte!$B$294</f>
        <v>Mur en bois, revêtement int. en plâtre, revêtement ext. en métal/verre (SIA 2032)</v>
      </c>
      <c r="C43" s="75"/>
      <c r="D43" s="75"/>
      <c r="E43" s="75" t="s">
        <v>242</v>
      </c>
      <c r="F43" s="75" t="s">
        <v>30</v>
      </c>
      <c r="G43" s="8">
        <v>42</v>
      </c>
      <c r="H43" s="44">
        <v>9.3865340708333331</v>
      </c>
      <c r="I43" s="44">
        <v>371.41677416666664</v>
      </c>
      <c r="J43" s="44">
        <v>4.4251525000000003</v>
      </c>
      <c r="K43" s="48">
        <v>2.0555560801388886</v>
      </c>
      <c r="L43" s="53">
        <v>75.507389805555547</v>
      </c>
      <c r="M43" s="53">
        <v>6.4936040999999998</v>
      </c>
      <c r="N43" s="50">
        <v>2509.0899152777774</v>
      </c>
      <c r="O43" s="50">
        <v>98978.011944444428</v>
      </c>
      <c r="P43" s="50">
        <v>4964.5244999999995</v>
      </c>
      <c r="Q43" s="8" t="s">
        <v>20</v>
      </c>
      <c r="R43" s="8"/>
      <c r="S43" s="8" t="s">
        <v>30</v>
      </c>
      <c r="T43" s="8" t="s">
        <v>341</v>
      </c>
      <c r="U43" s="7" t="s">
        <v>761</v>
      </c>
      <c r="W43">
        <v>16</v>
      </c>
      <c r="X43" t="s">
        <v>2051</v>
      </c>
      <c r="Y43">
        <f t="shared" si="0"/>
        <v>272</v>
      </c>
      <c r="Z43" t="str">
        <f t="shared" si="1"/>
        <v>C212-16</v>
      </c>
      <c r="AB43">
        <v>197</v>
      </c>
      <c r="AC43" t="s">
        <v>2116</v>
      </c>
    </row>
    <row r="44" spans="1:29">
      <c r="A44" s="75" t="s">
        <v>252</v>
      </c>
      <c r="B44" s="77" t="str">
        <f>Texte!$B$297</f>
        <v>Grille de colonnes avec système de façade aluminium/verre (SIA 2032)</v>
      </c>
      <c r="C44" s="75"/>
      <c r="D44" s="75"/>
      <c r="E44" s="75" t="s">
        <v>242</v>
      </c>
      <c r="F44" s="75" t="s">
        <v>30</v>
      </c>
      <c r="G44" s="8">
        <v>50</v>
      </c>
      <c r="H44" s="44">
        <v>26.550826305590945</v>
      </c>
      <c r="I44" s="44">
        <v>1067.9082078556264</v>
      </c>
      <c r="J44" s="44">
        <v>5.1458704798301493</v>
      </c>
      <c r="K44" s="48">
        <v>6.0838588280254777</v>
      </c>
      <c r="L44" s="53">
        <v>231.00473847133759</v>
      </c>
      <c r="M44" s="53">
        <v>15.179291210191083</v>
      </c>
      <c r="N44" s="50">
        <v>9751.6586996461428</v>
      </c>
      <c r="O44" s="50">
        <v>388757.2518046709</v>
      </c>
      <c r="P44" s="50">
        <v>8851.2701740976645</v>
      </c>
      <c r="Q44" s="8" t="s">
        <v>19</v>
      </c>
      <c r="R44" s="8"/>
      <c r="S44" s="8" t="s">
        <v>30</v>
      </c>
      <c r="T44" s="8" t="s">
        <v>341</v>
      </c>
      <c r="U44" s="7" t="s">
        <v>761</v>
      </c>
      <c r="W44">
        <v>17</v>
      </c>
      <c r="X44" t="s">
        <v>2052</v>
      </c>
      <c r="Y44">
        <f t="shared" si="0"/>
        <v>275</v>
      </c>
      <c r="Z44" t="str">
        <f t="shared" si="1"/>
        <v>C212-17</v>
      </c>
      <c r="AB44">
        <v>198</v>
      </c>
      <c r="AC44" t="s">
        <v>2117</v>
      </c>
    </row>
    <row r="45" spans="1:29">
      <c r="A45" s="77" t="s">
        <v>252</v>
      </c>
      <c r="B45" s="77" t="str">
        <f>Texte!$B$195</f>
        <v>Maçonnerie en briques de terre cuite, isolation thermique extérieure ventilée (CC)</v>
      </c>
      <c r="C45" s="77" t="s">
        <v>581</v>
      </c>
      <c r="D45" s="77" t="s">
        <v>582</v>
      </c>
      <c r="E45" s="77" t="s">
        <v>242</v>
      </c>
      <c r="F45" s="77" t="s">
        <v>30</v>
      </c>
      <c r="G45" s="42">
        <f t="shared" ref="G45:G54" si="2">(I45+J45)/H45</f>
        <v>50.434201736806948</v>
      </c>
      <c r="H45" s="43">
        <v>4.1583333333333332</v>
      </c>
      <c r="I45" s="43">
        <v>197.94444444444446</v>
      </c>
      <c r="J45" s="43">
        <v>11.777777777777777</v>
      </c>
      <c r="K45" s="47">
        <v>1.2</v>
      </c>
      <c r="L45" s="47">
        <v>60.9</v>
      </c>
      <c r="M45" s="47">
        <v>2.11</v>
      </c>
      <c r="N45" s="15">
        <v>1302</v>
      </c>
      <c r="O45" s="15">
        <v>50142</v>
      </c>
      <c r="P45" s="15">
        <v>12528</v>
      </c>
      <c r="Q45" s="7" t="s">
        <v>20</v>
      </c>
      <c r="R45" s="7"/>
      <c r="S45" s="8" t="s">
        <v>30</v>
      </c>
      <c r="T45" s="8" t="s">
        <v>341</v>
      </c>
      <c r="U45" s="7" t="s">
        <v>651</v>
      </c>
      <c r="W45">
        <v>18</v>
      </c>
      <c r="X45" t="s">
        <v>1940</v>
      </c>
      <c r="Y45">
        <f t="shared" si="0"/>
        <v>173</v>
      </c>
      <c r="Z45" t="str">
        <f t="shared" si="1"/>
        <v>C212-18</v>
      </c>
      <c r="AB45">
        <v>199</v>
      </c>
      <c r="AC45" t="s">
        <v>2118</v>
      </c>
    </row>
    <row r="46" spans="1:29">
      <c r="A46" s="77" t="s">
        <v>252</v>
      </c>
      <c r="B46" s="77" t="str">
        <f>Texte!$B$196</f>
        <v>Paroi en béton 20cm, isolation thermique extérieure EPS crépie (CC)</v>
      </c>
      <c r="C46" s="77" t="s">
        <v>579</v>
      </c>
      <c r="D46" s="77" t="s">
        <v>580</v>
      </c>
      <c r="E46" s="77" t="s">
        <v>242</v>
      </c>
      <c r="F46" s="77" t="s">
        <v>30</v>
      </c>
      <c r="G46" s="42">
        <f t="shared" si="2"/>
        <v>39.989680082559339</v>
      </c>
      <c r="H46" s="43">
        <v>8.0749999999999993</v>
      </c>
      <c r="I46" s="43">
        <v>296.11111111111109</v>
      </c>
      <c r="J46" s="43">
        <v>26.805555555555554</v>
      </c>
      <c r="K46" s="47">
        <v>2.42</v>
      </c>
      <c r="L46" s="47">
        <v>91.95</v>
      </c>
      <c r="M46" s="47">
        <v>14.85</v>
      </c>
      <c r="N46" s="15">
        <v>2605</v>
      </c>
      <c r="O46" s="15">
        <v>103640</v>
      </c>
      <c r="P46" s="15">
        <v>19526</v>
      </c>
      <c r="Q46" s="7" t="s">
        <v>20</v>
      </c>
      <c r="R46" s="7"/>
      <c r="S46" s="8" t="s">
        <v>30</v>
      </c>
      <c r="T46" s="8" t="s">
        <v>341</v>
      </c>
      <c r="U46" s="7" t="s">
        <v>651</v>
      </c>
      <c r="W46">
        <v>19</v>
      </c>
      <c r="X46" t="s">
        <v>1941</v>
      </c>
      <c r="Y46">
        <f t="shared" si="0"/>
        <v>174</v>
      </c>
      <c r="Z46" t="str">
        <f t="shared" si="1"/>
        <v>C212-19</v>
      </c>
      <c r="AB46">
        <v>200</v>
      </c>
      <c r="AC46" t="s">
        <v>2119</v>
      </c>
    </row>
    <row r="47" spans="1:29">
      <c r="A47" s="77" t="s">
        <v>252</v>
      </c>
      <c r="B47" s="77" t="str">
        <f>Texte!$B$197</f>
        <v>Maçonnerie à simple paroi en briques de terre cuite, isolation thermique extérieure EPS crépie (CC)</v>
      </c>
      <c r="C47" s="77" t="s">
        <v>577</v>
      </c>
      <c r="D47" s="78" t="s">
        <v>578</v>
      </c>
      <c r="E47" s="77" t="s">
        <v>242</v>
      </c>
      <c r="F47" s="77" t="s">
        <v>30</v>
      </c>
      <c r="G47" s="42">
        <f t="shared" si="2"/>
        <v>39.006574141709272</v>
      </c>
      <c r="H47" s="43">
        <v>7.6055555555555552</v>
      </c>
      <c r="I47" s="43">
        <v>285.58333333333331</v>
      </c>
      <c r="J47" s="43">
        <v>11.083333333333332</v>
      </c>
      <c r="K47" s="47">
        <v>2.0099999999999998</v>
      </c>
      <c r="L47" s="47">
        <v>72.92</v>
      </c>
      <c r="M47" s="47">
        <v>10.54</v>
      </c>
      <c r="N47" s="50">
        <v>1701</v>
      </c>
      <c r="O47" s="50">
        <v>57317</v>
      </c>
      <c r="P47" s="50">
        <v>10817</v>
      </c>
      <c r="Q47" s="7" t="s">
        <v>20</v>
      </c>
      <c r="R47" s="7"/>
      <c r="S47" s="8" t="s">
        <v>30</v>
      </c>
      <c r="T47" s="8" t="s">
        <v>341</v>
      </c>
      <c r="U47" s="7" t="s">
        <v>651</v>
      </c>
      <c r="W47">
        <v>20</v>
      </c>
      <c r="X47" t="s">
        <v>1942</v>
      </c>
      <c r="Y47">
        <f t="shared" si="0"/>
        <v>175</v>
      </c>
      <c r="Z47" t="str">
        <f t="shared" si="1"/>
        <v>C212-20</v>
      </c>
      <c r="AB47">
        <v>201</v>
      </c>
      <c r="AC47" t="s">
        <v>2121</v>
      </c>
    </row>
    <row r="48" spans="1:29">
      <c r="A48" s="77" t="s">
        <v>252</v>
      </c>
      <c r="B48" s="77" t="str">
        <f>Texte!$B$198</f>
        <v>Paroi en éléments de bois avec isolation thermique intermédiaire (CC)</v>
      </c>
      <c r="C48" s="77" t="s">
        <v>585</v>
      </c>
      <c r="D48" s="77" t="s">
        <v>586</v>
      </c>
      <c r="E48" s="77" t="s">
        <v>242</v>
      </c>
      <c r="F48" s="77" t="s">
        <v>30</v>
      </c>
      <c r="G48" s="42">
        <f t="shared" si="2"/>
        <v>39.310924369747895</v>
      </c>
      <c r="H48" s="43">
        <v>3.3055555555555554</v>
      </c>
      <c r="I48" s="43">
        <v>127.6111111111111</v>
      </c>
      <c r="J48" s="43">
        <v>2.3333333333333335</v>
      </c>
      <c r="K48" s="47">
        <v>0.67</v>
      </c>
      <c r="L48" s="47">
        <v>23.44</v>
      </c>
      <c r="M48" s="47">
        <v>3</v>
      </c>
      <c r="N48" s="50">
        <v>1491</v>
      </c>
      <c r="O48" s="50">
        <v>35667</v>
      </c>
      <c r="P48" s="50">
        <v>22135</v>
      </c>
      <c r="Q48" s="7" t="s">
        <v>20</v>
      </c>
      <c r="R48" s="7"/>
      <c r="S48" s="8" t="s">
        <v>30</v>
      </c>
      <c r="T48" s="8" t="s">
        <v>341</v>
      </c>
      <c r="U48" s="7" t="s">
        <v>651</v>
      </c>
      <c r="W48">
        <v>21</v>
      </c>
      <c r="X48" t="s">
        <v>1943</v>
      </c>
      <c r="Y48">
        <f t="shared" si="0"/>
        <v>176</v>
      </c>
      <c r="Z48" t="str">
        <f t="shared" si="1"/>
        <v>C212-21</v>
      </c>
      <c r="AB48">
        <v>202</v>
      </c>
      <c r="AC48" t="s">
        <v>2123</v>
      </c>
    </row>
    <row r="49" spans="1:29">
      <c r="A49" s="77" t="s">
        <v>252</v>
      </c>
      <c r="B49" s="77" t="str">
        <f>Texte!$B$199</f>
        <v>Panneaux sandwich de tôle d'acier (CC)</v>
      </c>
      <c r="C49" s="77" t="s">
        <v>576</v>
      </c>
      <c r="D49" s="77" t="s">
        <v>575</v>
      </c>
      <c r="E49" s="77" t="s">
        <v>242</v>
      </c>
      <c r="F49" s="77" t="s">
        <v>30</v>
      </c>
      <c r="G49" s="42">
        <f t="shared" si="2"/>
        <v>41.57379518072289</v>
      </c>
      <c r="H49" s="43">
        <v>7.3777777777777773</v>
      </c>
      <c r="I49" s="43">
        <v>304.74999999999994</v>
      </c>
      <c r="J49" s="43">
        <v>1.9722222222222221</v>
      </c>
      <c r="K49" s="47">
        <v>1.73</v>
      </c>
      <c r="L49" s="47">
        <v>58.17</v>
      </c>
      <c r="M49" s="47">
        <v>13.35</v>
      </c>
      <c r="N49" s="50">
        <v>3602</v>
      </c>
      <c r="O49" s="50">
        <v>141584</v>
      </c>
      <c r="P49" s="50">
        <v>9698</v>
      </c>
      <c r="Q49" s="7" t="s">
        <v>20</v>
      </c>
      <c r="R49" s="7"/>
      <c r="S49" s="8" t="s">
        <v>30</v>
      </c>
      <c r="T49" s="8" t="s">
        <v>341</v>
      </c>
      <c r="U49" s="7" t="s">
        <v>651</v>
      </c>
      <c r="W49">
        <v>22</v>
      </c>
      <c r="X49" t="s">
        <v>1944</v>
      </c>
      <c r="Y49">
        <f t="shared" si="0"/>
        <v>177</v>
      </c>
      <c r="Z49" t="str">
        <f t="shared" si="1"/>
        <v>C212-22</v>
      </c>
      <c r="AB49">
        <v>203</v>
      </c>
      <c r="AC49" t="s">
        <v>2124</v>
      </c>
    </row>
    <row r="50" spans="1:29">
      <c r="A50" s="77" t="s">
        <v>252</v>
      </c>
      <c r="B50" s="77" t="str">
        <f>Texte!$B$200</f>
        <v>Bardage en cassettes d'acier avec isolation complémentaire, revêtement en tôle d'acier (CC)</v>
      </c>
      <c r="C50" s="77" t="s">
        <v>573</v>
      </c>
      <c r="D50" s="77" t="s">
        <v>574</v>
      </c>
      <c r="E50" s="77" t="s">
        <v>242</v>
      </c>
      <c r="F50" s="77" t="s">
        <v>30</v>
      </c>
      <c r="G50" s="42">
        <f t="shared" si="2"/>
        <v>41.336636828644508</v>
      </c>
      <c r="H50" s="43">
        <v>8.6888888888888882</v>
      </c>
      <c r="I50" s="43">
        <v>358.16666666666669</v>
      </c>
      <c r="J50" s="43">
        <v>1.0027777777777778</v>
      </c>
      <c r="K50" s="47">
        <v>1.96</v>
      </c>
      <c r="L50" s="47">
        <v>79.900000000000006</v>
      </c>
      <c r="M50" s="47">
        <v>0.78</v>
      </c>
      <c r="N50" s="50">
        <v>6513</v>
      </c>
      <c r="O50" s="50">
        <v>266164</v>
      </c>
      <c r="P50" s="50">
        <v>1560</v>
      </c>
      <c r="Q50" s="7" t="s">
        <v>20</v>
      </c>
      <c r="R50" s="7"/>
      <c r="S50" s="8" t="s">
        <v>30</v>
      </c>
      <c r="T50" s="8" t="s">
        <v>341</v>
      </c>
      <c r="U50" s="7" t="s">
        <v>651</v>
      </c>
      <c r="W50">
        <v>23</v>
      </c>
      <c r="X50" t="s">
        <v>1945</v>
      </c>
      <c r="Y50">
        <f t="shared" si="0"/>
        <v>178</v>
      </c>
      <c r="Z50" t="str">
        <f t="shared" si="1"/>
        <v>C212-23</v>
      </c>
      <c r="AB50">
        <v>204</v>
      </c>
      <c r="AC50" t="s">
        <v>2125</v>
      </c>
    </row>
    <row r="51" spans="1:29">
      <c r="A51" s="77" t="s">
        <v>252</v>
      </c>
      <c r="B51" s="77" t="str">
        <f>Texte!$B$201</f>
        <v>Maçonnerie à double paroi crépie, vide de maçonnerie isolé (CC)</v>
      </c>
      <c r="C51" s="77" t="s">
        <v>583</v>
      </c>
      <c r="D51" s="77" t="s">
        <v>584</v>
      </c>
      <c r="E51" s="77" t="s">
        <v>242</v>
      </c>
      <c r="F51" s="77" t="s">
        <v>30</v>
      </c>
      <c r="G51" s="42">
        <f t="shared" si="2"/>
        <v>44.572062084257198</v>
      </c>
      <c r="H51" s="43">
        <v>6.2638888888888893</v>
      </c>
      <c r="I51" s="43">
        <v>261.1944444444444</v>
      </c>
      <c r="J51" s="43">
        <v>18</v>
      </c>
      <c r="K51" s="47">
        <v>2.2400000000000002</v>
      </c>
      <c r="L51" s="47">
        <v>94.47</v>
      </c>
      <c r="M51" s="47">
        <v>3.18</v>
      </c>
      <c r="N51" s="50">
        <v>1702</v>
      </c>
      <c r="O51" s="50">
        <v>65209</v>
      </c>
      <c r="P51" s="50">
        <v>8669</v>
      </c>
      <c r="Q51" s="7" t="s">
        <v>20</v>
      </c>
      <c r="R51" s="7"/>
      <c r="S51" s="8" t="s">
        <v>30</v>
      </c>
      <c r="T51" s="8" t="s">
        <v>341</v>
      </c>
      <c r="U51" s="7" t="s">
        <v>651</v>
      </c>
      <c r="W51">
        <v>24</v>
      </c>
      <c r="X51" t="s">
        <v>1946</v>
      </c>
      <c r="Y51">
        <f t="shared" si="0"/>
        <v>179</v>
      </c>
      <c r="Z51" t="str">
        <f t="shared" si="1"/>
        <v>C212-24</v>
      </c>
      <c r="AB51">
        <v>205</v>
      </c>
      <c r="AC51" t="s">
        <v>2126</v>
      </c>
    </row>
    <row r="52" spans="1:29">
      <c r="A52" s="77" t="s">
        <v>253</v>
      </c>
      <c r="B52" s="77" t="str">
        <f>Texte!$B$202</f>
        <v>Paroi intérieure en briques de terre cuite, crépie (CC)</v>
      </c>
      <c r="C52" s="77" t="s">
        <v>597</v>
      </c>
      <c r="D52" s="77" t="s">
        <v>598</v>
      </c>
      <c r="E52" s="77" t="s">
        <v>242</v>
      </c>
      <c r="F52" s="77" t="s">
        <v>30</v>
      </c>
      <c r="G52" s="42">
        <f t="shared" si="2"/>
        <v>52.412663755458517</v>
      </c>
      <c r="H52" s="43">
        <v>2.5444444444444443</v>
      </c>
      <c r="I52" s="43">
        <v>123.83333333333333</v>
      </c>
      <c r="J52" s="43">
        <v>9.5277777777777768</v>
      </c>
      <c r="K52" s="47">
        <v>0.76</v>
      </c>
      <c r="L52" s="47">
        <v>40.46</v>
      </c>
      <c r="M52" s="47">
        <v>1.68</v>
      </c>
      <c r="N52" s="50">
        <v>698</v>
      </c>
      <c r="O52" s="50">
        <v>30497</v>
      </c>
      <c r="P52" s="50">
        <v>4700</v>
      </c>
      <c r="Q52" s="7" t="s">
        <v>19</v>
      </c>
      <c r="R52" s="7" t="s">
        <v>266</v>
      </c>
      <c r="S52" s="8" t="s">
        <v>30</v>
      </c>
      <c r="T52" s="8" t="s">
        <v>341</v>
      </c>
      <c r="U52" s="7" t="s">
        <v>651</v>
      </c>
      <c r="W52">
        <v>1</v>
      </c>
      <c r="X52" t="s">
        <v>1947</v>
      </c>
      <c r="Y52">
        <f t="shared" si="0"/>
        <v>180</v>
      </c>
      <c r="Z52" t="str">
        <f t="shared" si="1"/>
        <v>C22-1</v>
      </c>
      <c r="AB52">
        <v>206</v>
      </c>
      <c r="AC52" t="s">
        <v>2127</v>
      </c>
    </row>
    <row r="53" spans="1:29">
      <c r="A53" s="77" t="s">
        <v>253</v>
      </c>
      <c r="B53" s="77" t="str">
        <f>Texte!$B$203</f>
        <v>Paroi en béton 20cm (CC)</v>
      </c>
      <c r="C53" s="77" t="s">
        <v>601</v>
      </c>
      <c r="D53" s="77" t="s">
        <v>602</v>
      </c>
      <c r="E53" s="77" t="s">
        <v>242</v>
      </c>
      <c r="F53" s="77" t="s">
        <v>30</v>
      </c>
      <c r="G53" s="42">
        <f t="shared" si="2"/>
        <v>59.97933884297521</v>
      </c>
      <c r="H53" s="43">
        <v>2.6888888888888887</v>
      </c>
      <c r="I53" s="43">
        <v>135.25</v>
      </c>
      <c r="J53" s="43">
        <v>26.027777777777779</v>
      </c>
      <c r="K53" s="47">
        <v>1.1399999999999999</v>
      </c>
      <c r="L53" s="47">
        <v>63.46</v>
      </c>
      <c r="M53" s="47">
        <v>5.21</v>
      </c>
      <c r="N53" s="50">
        <v>1501</v>
      </c>
      <c r="O53" s="50">
        <v>76973</v>
      </c>
      <c r="P53" s="50">
        <v>13082</v>
      </c>
      <c r="Q53" s="7" t="s">
        <v>19</v>
      </c>
      <c r="R53" s="7" t="s">
        <v>266</v>
      </c>
      <c r="S53" s="8" t="s">
        <v>30</v>
      </c>
      <c r="T53" s="8" t="s">
        <v>341</v>
      </c>
      <c r="U53" s="7" t="s">
        <v>651</v>
      </c>
      <c r="W53">
        <v>2</v>
      </c>
      <c r="X53" t="s">
        <v>1948</v>
      </c>
      <c r="Y53">
        <f t="shared" si="0"/>
        <v>181</v>
      </c>
      <c r="Z53" t="str">
        <f t="shared" si="1"/>
        <v>C22-2</v>
      </c>
      <c r="AB53">
        <v>207</v>
      </c>
      <c r="AC53" t="s">
        <v>2133</v>
      </c>
    </row>
    <row r="54" spans="1:29">
      <c r="A54" s="77" t="s">
        <v>253</v>
      </c>
      <c r="B54" s="77" t="str">
        <f>Texte!$B$204</f>
        <v>Paroi légère en plaques de plâtre cartonné avec parement double (CC)</v>
      </c>
      <c r="C54" s="77" t="s">
        <v>603</v>
      </c>
      <c r="D54" s="77" t="s">
        <v>604</v>
      </c>
      <c r="E54" s="77" t="s">
        <v>242</v>
      </c>
      <c r="F54" s="77" t="s">
        <v>30</v>
      </c>
      <c r="G54" s="42">
        <f t="shared" si="2"/>
        <v>30.340398201669878</v>
      </c>
      <c r="H54" s="43">
        <v>4.3250000000000002</v>
      </c>
      <c r="I54" s="43">
        <v>127.72222222222223</v>
      </c>
      <c r="J54" s="43">
        <v>3.5</v>
      </c>
      <c r="K54" s="47">
        <v>0.93</v>
      </c>
      <c r="L54" s="47">
        <v>27.17</v>
      </c>
      <c r="M54" s="47">
        <v>0.57999999999999996</v>
      </c>
      <c r="N54" s="50">
        <v>2025</v>
      </c>
      <c r="O54" s="50">
        <v>59064</v>
      </c>
      <c r="P54" s="50">
        <v>1698</v>
      </c>
      <c r="Q54" s="7" t="s">
        <v>19</v>
      </c>
      <c r="R54" s="7" t="s">
        <v>266</v>
      </c>
      <c r="S54" s="8" t="s">
        <v>30</v>
      </c>
      <c r="T54" s="8" t="s">
        <v>341</v>
      </c>
      <c r="U54" s="7" t="s">
        <v>651</v>
      </c>
      <c r="W54">
        <v>3</v>
      </c>
      <c r="X54" t="s">
        <v>1949</v>
      </c>
      <c r="Y54">
        <f t="shared" si="0"/>
        <v>182</v>
      </c>
      <c r="Z54" t="str">
        <f t="shared" si="1"/>
        <v>C22-3</v>
      </c>
      <c r="AB54">
        <v>208</v>
      </c>
      <c r="AC54" t="s">
        <v>2134</v>
      </c>
    </row>
    <row r="55" spans="1:29">
      <c r="A55" s="75" t="s">
        <v>253</v>
      </c>
      <c r="B55" s="77" t="str">
        <f>Texte!$B$305</f>
        <v>Valeur moyenne paroi intérieure non porteuse (avec enduit intérieur) (SIA 2032)</v>
      </c>
      <c r="C55" s="75"/>
      <c r="D55" s="75"/>
      <c r="E55" s="75" t="s">
        <v>242</v>
      </c>
      <c r="F55" s="75" t="s">
        <v>30</v>
      </c>
      <c r="G55" s="8">
        <v>30</v>
      </c>
      <c r="H55" s="44">
        <v>4.1233929666666667</v>
      </c>
      <c r="I55" s="44">
        <v>119.74312399999999</v>
      </c>
      <c r="J55" s="44">
        <v>3.9586650000000003</v>
      </c>
      <c r="K55" s="48">
        <v>0.92104072000000003</v>
      </c>
      <c r="L55" s="53">
        <v>25.6368796</v>
      </c>
      <c r="M55" s="53">
        <v>1.9943420000000001</v>
      </c>
      <c r="N55" s="50">
        <v>908.45949999999993</v>
      </c>
      <c r="O55" s="50">
        <v>25252.199999999997</v>
      </c>
      <c r="P55" s="55">
        <v>2001.585</v>
      </c>
      <c r="Q55" s="8" t="s">
        <v>19</v>
      </c>
      <c r="R55" s="7" t="s">
        <v>266</v>
      </c>
      <c r="S55" s="8" t="s">
        <v>30</v>
      </c>
      <c r="T55" s="8" t="s">
        <v>341</v>
      </c>
      <c r="U55" s="7" t="s">
        <v>761</v>
      </c>
      <c r="W55">
        <v>4</v>
      </c>
      <c r="X55" t="s">
        <v>1950</v>
      </c>
      <c r="Y55">
        <f t="shared" si="0"/>
        <v>283</v>
      </c>
      <c r="Z55" t="str">
        <f t="shared" si="1"/>
        <v>C22-4</v>
      </c>
      <c r="AB55">
        <v>209</v>
      </c>
      <c r="AC55" t="s">
        <v>2135</v>
      </c>
    </row>
    <row r="56" spans="1:29">
      <c r="A56" s="75" t="s">
        <v>253</v>
      </c>
      <c r="B56" s="77" t="str">
        <f>Texte!$B$304</f>
        <v>Valeur moyenne des murs porteurs intérieurs (avec enduit intérieur) (SIA 2032)</v>
      </c>
      <c r="C56" s="75"/>
      <c r="D56" s="75"/>
      <c r="E56" s="75" t="s">
        <v>242</v>
      </c>
      <c r="F56" s="75" t="s">
        <v>30</v>
      </c>
      <c r="G56" s="8">
        <v>56</v>
      </c>
      <c r="H56" s="44">
        <v>3.7155000993170564</v>
      </c>
      <c r="I56" s="44">
        <v>163.75522812738851</v>
      </c>
      <c r="J56" s="44">
        <v>18.355077831634819</v>
      </c>
      <c r="K56" s="48">
        <v>1.2346430856302195</v>
      </c>
      <c r="L56" s="53">
        <v>56.58724696390658</v>
      </c>
      <c r="M56" s="53">
        <v>4.8387481739065814</v>
      </c>
      <c r="N56" s="50">
        <v>1444.3141881245576</v>
      </c>
      <c r="O56" s="50">
        <v>65360.809269639059</v>
      </c>
      <c r="P56" s="55">
        <v>9275.4420178343953</v>
      </c>
      <c r="Q56" s="8" t="s">
        <v>19</v>
      </c>
      <c r="R56" s="7" t="s">
        <v>266</v>
      </c>
      <c r="S56" s="8" t="s">
        <v>30</v>
      </c>
      <c r="T56" s="8" t="s">
        <v>341</v>
      </c>
      <c r="U56" s="7" t="s">
        <v>761</v>
      </c>
      <c r="W56">
        <v>5</v>
      </c>
      <c r="X56" t="s">
        <v>1951</v>
      </c>
      <c r="Y56">
        <f t="shared" si="0"/>
        <v>282</v>
      </c>
      <c r="Z56" t="str">
        <f t="shared" si="1"/>
        <v>C22-5</v>
      </c>
      <c r="AB56">
        <v>210</v>
      </c>
      <c r="AC56" t="s">
        <v>2136</v>
      </c>
    </row>
    <row r="57" spans="1:29">
      <c r="A57" s="77" t="s">
        <v>253</v>
      </c>
      <c r="B57" s="77" t="str">
        <f>Texte!$B$205</f>
        <v>Cloison simple ossature, montants, parement simple en plaques de plâtre cartonné (lignum)</v>
      </c>
      <c r="C57" s="77" t="s">
        <v>502</v>
      </c>
      <c r="D57" s="77" t="s">
        <v>499</v>
      </c>
      <c r="E57" s="77" t="s">
        <v>242</v>
      </c>
      <c r="F57" s="77" t="s">
        <v>30</v>
      </c>
      <c r="G57" s="7">
        <v>30</v>
      </c>
      <c r="H57" s="43">
        <v>3.5833333333333335</v>
      </c>
      <c r="I57" s="43">
        <v>0</v>
      </c>
      <c r="J57" s="43">
        <v>0</v>
      </c>
      <c r="K57" s="47">
        <v>0.77333333333333332</v>
      </c>
      <c r="L57" s="47"/>
      <c r="M57" s="47"/>
      <c r="N57" s="50">
        <v>1180.9000000000001</v>
      </c>
      <c r="O57" s="50"/>
      <c r="P57" s="50"/>
      <c r="Q57" s="7" t="s">
        <v>19</v>
      </c>
      <c r="R57" s="7" t="s">
        <v>266</v>
      </c>
      <c r="S57" s="8" t="s">
        <v>30</v>
      </c>
      <c r="T57" s="8" t="s">
        <v>341</v>
      </c>
      <c r="U57" s="7" t="s">
        <v>652</v>
      </c>
      <c r="W57">
        <v>6</v>
      </c>
      <c r="X57" t="s">
        <v>1952</v>
      </c>
      <c r="Y57">
        <f t="shared" si="0"/>
        <v>183</v>
      </c>
      <c r="Z57" t="str">
        <f t="shared" si="1"/>
        <v>C22-6</v>
      </c>
      <c r="AB57">
        <v>211</v>
      </c>
      <c r="AC57" t="s">
        <v>2137</v>
      </c>
    </row>
    <row r="58" spans="1:29">
      <c r="A58" s="77" t="s">
        <v>253</v>
      </c>
      <c r="B58" s="77" t="str">
        <f>Texte!$B$206</f>
        <v>Cloison double ossature, montants, parement simple en plaques de plâtre cartonné (lignum)</v>
      </c>
      <c r="C58" s="77" t="s">
        <v>501</v>
      </c>
      <c r="D58" s="77" t="s">
        <v>498</v>
      </c>
      <c r="E58" s="77" t="s">
        <v>242</v>
      </c>
      <c r="F58" s="77" t="s">
        <v>30</v>
      </c>
      <c r="G58" s="7">
        <v>30</v>
      </c>
      <c r="H58" s="43">
        <v>2.5925925925925926</v>
      </c>
      <c r="I58" s="43">
        <v>0</v>
      </c>
      <c r="J58" s="43">
        <v>0</v>
      </c>
      <c r="K58" s="47">
        <v>0.58666666666666667</v>
      </c>
      <c r="L58" s="47"/>
      <c r="M58" s="47"/>
      <c r="N58" s="50">
        <v>864.76666666666665</v>
      </c>
      <c r="O58" s="50"/>
      <c r="P58" s="50"/>
      <c r="Q58" s="7" t="s">
        <v>19</v>
      </c>
      <c r="R58" s="7" t="s">
        <v>266</v>
      </c>
      <c r="S58" s="8" t="s">
        <v>30</v>
      </c>
      <c r="T58" s="8" t="s">
        <v>341</v>
      </c>
      <c r="U58" s="7" t="s">
        <v>652</v>
      </c>
      <c r="W58">
        <v>7</v>
      </c>
      <c r="X58" t="s">
        <v>1953</v>
      </c>
      <c r="Y58">
        <f t="shared" si="0"/>
        <v>184</v>
      </c>
      <c r="Z58" t="str">
        <f t="shared" si="1"/>
        <v>C22-7</v>
      </c>
      <c r="AB58">
        <v>212</v>
      </c>
      <c r="AC58" t="s">
        <v>2138</v>
      </c>
    </row>
    <row r="59" spans="1:29">
      <c r="A59" s="77" t="s">
        <v>253</v>
      </c>
      <c r="B59" s="77" t="str">
        <f>Texte!$B$207</f>
        <v>Paroi de séparation en bois (CC)</v>
      </c>
      <c r="C59" s="77" t="s">
        <v>607</v>
      </c>
      <c r="D59" s="77" t="s">
        <v>608</v>
      </c>
      <c r="E59" s="77" t="s">
        <v>242</v>
      </c>
      <c r="F59" s="77" t="s">
        <v>30</v>
      </c>
      <c r="G59" s="42">
        <f>(I59+J59)/H59</f>
        <v>30.014644351464433</v>
      </c>
      <c r="H59" s="43">
        <v>2.6555555555555554</v>
      </c>
      <c r="I59" s="43">
        <v>78.305555555555543</v>
      </c>
      <c r="J59" s="43">
        <v>1.4</v>
      </c>
      <c r="K59" s="47">
        <v>0.5</v>
      </c>
      <c r="L59" s="47">
        <v>11.95</v>
      </c>
      <c r="M59" s="47">
        <v>3.01</v>
      </c>
      <c r="N59" s="50">
        <v>957</v>
      </c>
      <c r="O59" s="50">
        <v>14422</v>
      </c>
      <c r="P59" s="50">
        <v>14298</v>
      </c>
      <c r="Q59" s="7" t="s">
        <v>19</v>
      </c>
      <c r="R59" s="7" t="s">
        <v>266</v>
      </c>
      <c r="S59" s="8" t="s">
        <v>30</v>
      </c>
      <c r="T59" s="8" t="s">
        <v>341</v>
      </c>
      <c r="U59" s="7" t="s">
        <v>651</v>
      </c>
      <c r="W59">
        <v>8</v>
      </c>
      <c r="X59" t="s">
        <v>1954</v>
      </c>
      <c r="Y59">
        <f t="shared" si="0"/>
        <v>185</v>
      </c>
      <c r="Z59" t="str">
        <f t="shared" si="1"/>
        <v>C22-8</v>
      </c>
      <c r="AB59">
        <v>213</v>
      </c>
      <c r="AC59" t="s">
        <v>2139</v>
      </c>
    </row>
    <row r="60" spans="1:29">
      <c r="A60" s="77" t="s">
        <v>253</v>
      </c>
      <c r="B60" s="77" t="str">
        <f>Texte!$B$208</f>
        <v>Paroi de séparation en bois massif avec doublage en plaques de plâtre cartonné (lignum)</v>
      </c>
      <c r="C60" s="77" t="s">
        <v>503</v>
      </c>
      <c r="D60" s="77" t="s">
        <v>500</v>
      </c>
      <c r="E60" s="77" t="s">
        <v>242</v>
      </c>
      <c r="F60" s="77" t="s">
        <v>30</v>
      </c>
      <c r="G60" s="7">
        <v>30</v>
      </c>
      <c r="H60" s="43">
        <v>7.2962962962962958</v>
      </c>
      <c r="I60" s="43">
        <v>0</v>
      </c>
      <c r="J60" s="43">
        <v>0</v>
      </c>
      <c r="K60" s="47">
        <v>1.5363333333333336</v>
      </c>
      <c r="L60" s="47"/>
      <c r="M60" s="47"/>
      <c r="N60" s="50">
        <v>2293.2666666666669</v>
      </c>
      <c r="O60" s="50"/>
      <c r="P60" s="50"/>
      <c r="Q60" s="7" t="s">
        <v>19</v>
      </c>
      <c r="R60" s="7" t="s">
        <v>266</v>
      </c>
      <c r="S60" s="8" t="s">
        <v>30</v>
      </c>
      <c r="T60" s="8" t="s">
        <v>341</v>
      </c>
      <c r="U60" s="7" t="s">
        <v>652</v>
      </c>
      <c r="W60">
        <v>9</v>
      </c>
      <c r="X60" t="s">
        <v>1955</v>
      </c>
      <c r="Y60">
        <f t="shared" si="0"/>
        <v>186</v>
      </c>
      <c r="Z60" t="str">
        <f t="shared" si="1"/>
        <v>C22-9</v>
      </c>
      <c r="AB60">
        <v>214</v>
      </c>
      <c r="AC60" t="s">
        <v>2144</v>
      </c>
    </row>
    <row r="61" spans="1:29">
      <c r="A61" s="77" t="s">
        <v>253</v>
      </c>
      <c r="B61" s="77" t="str">
        <f>Texte!$B$209</f>
        <v>Paroi de séparation en carreaux de plâtre massif (CC)</v>
      </c>
      <c r="C61" s="77" t="s">
        <v>605</v>
      </c>
      <c r="D61" s="77" t="s">
        <v>606</v>
      </c>
      <c r="E61" s="77" t="s">
        <v>242</v>
      </c>
      <c r="F61" s="77" t="s">
        <v>30</v>
      </c>
      <c r="G61" s="42">
        <v>30</v>
      </c>
      <c r="H61" s="43">
        <v>4.8694444444444445</v>
      </c>
      <c r="I61" s="43">
        <v>131.5</v>
      </c>
      <c r="J61" s="43">
        <v>7.9166666666666661</v>
      </c>
      <c r="K61" s="47">
        <v>1.06</v>
      </c>
      <c r="L61" s="47">
        <v>29.34</v>
      </c>
      <c r="M61" s="47">
        <v>1.3</v>
      </c>
      <c r="N61" s="50">
        <v>1167</v>
      </c>
      <c r="O61" s="50">
        <v>29667</v>
      </c>
      <c r="P61" s="50">
        <v>3044</v>
      </c>
      <c r="Q61" s="7" t="s">
        <v>19</v>
      </c>
      <c r="R61" s="7" t="s">
        <v>266</v>
      </c>
      <c r="S61" s="8" t="s">
        <v>30</v>
      </c>
      <c r="T61" s="8" t="s">
        <v>341</v>
      </c>
      <c r="U61" s="7" t="s">
        <v>651</v>
      </c>
      <c r="W61">
        <v>10</v>
      </c>
      <c r="X61" t="s">
        <v>1956</v>
      </c>
      <c r="Y61">
        <f t="shared" si="0"/>
        <v>187</v>
      </c>
      <c r="Z61" t="str">
        <f t="shared" si="1"/>
        <v>C22-10</v>
      </c>
      <c r="AB61">
        <v>215</v>
      </c>
      <c r="AC61" t="s">
        <v>2145</v>
      </c>
    </row>
    <row r="62" spans="1:29">
      <c r="A62" s="77" t="s">
        <v>253</v>
      </c>
      <c r="B62" s="77" t="str">
        <f>Texte!$B$210</f>
        <v>Maçonnerie à double paroi crépie (CC)</v>
      </c>
      <c r="C62" s="77" t="s">
        <v>599</v>
      </c>
      <c r="D62" s="77" t="s">
        <v>600</v>
      </c>
      <c r="E62" s="77" t="s">
        <v>242</v>
      </c>
      <c r="F62" s="77" t="s">
        <v>30</v>
      </c>
      <c r="G62" s="42">
        <f>(I62+J62)/H62</f>
        <v>57.192285876347135</v>
      </c>
      <c r="H62" s="43">
        <v>4.8972222222222221</v>
      </c>
      <c r="I62" s="43">
        <v>260.97222222222223</v>
      </c>
      <c r="J62" s="43">
        <v>19.111111111111111</v>
      </c>
      <c r="K62" s="47">
        <v>1.53</v>
      </c>
      <c r="L62" s="47">
        <v>85.78</v>
      </c>
      <c r="M62" s="47">
        <v>3.39</v>
      </c>
      <c r="N62" s="50">
        <v>1239</v>
      </c>
      <c r="O62" s="50">
        <v>60343</v>
      </c>
      <c r="P62" s="50">
        <v>9197</v>
      </c>
      <c r="Q62" s="7" t="s">
        <v>19</v>
      </c>
      <c r="R62" s="7" t="s">
        <v>266</v>
      </c>
      <c r="S62" s="8" t="s">
        <v>30</v>
      </c>
      <c r="T62" s="8" t="s">
        <v>341</v>
      </c>
      <c r="U62" s="7" t="s">
        <v>651</v>
      </c>
      <c r="W62">
        <v>11</v>
      </c>
      <c r="X62" t="s">
        <v>1957</v>
      </c>
      <c r="Y62">
        <f t="shared" si="0"/>
        <v>188</v>
      </c>
      <c r="Z62" t="str">
        <f t="shared" si="1"/>
        <v>C22-11</v>
      </c>
      <c r="AB62">
        <v>216</v>
      </c>
      <c r="AC62" t="s">
        <v>2147</v>
      </c>
    </row>
    <row r="63" spans="1:29">
      <c r="A63" s="77" t="s">
        <v>254</v>
      </c>
      <c r="B63" s="77" t="str">
        <f>Texte!$B$211</f>
        <v>Solivage, chape et faux-plafond (lignum)</v>
      </c>
      <c r="C63" s="77" t="s">
        <v>507</v>
      </c>
      <c r="D63" s="77" t="s">
        <v>517</v>
      </c>
      <c r="E63" s="77" t="s">
        <v>242</v>
      </c>
      <c r="F63" s="77" t="s">
        <v>30</v>
      </c>
      <c r="G63" s="7">
        <v>60</v>
      </c>
      <c r="H63" s="43">
        <v>3.6111111111111112</v>
      </c>
      <c r="I63" s="43">
        <v>0</v>
      </c>
      <c r="J63" s="43">
        <v>0</v>
      </c>
      <c r="K63" s="47">
        <v>0.95133333333333325</v>
      </c>
      <c r="L63" s="47"/>
      <c r="M63" s="47"/>
      <c r="N63" s="50">
        <v>1397.65</v>
      </c>
      <c r="O63" s="50"/>
      <c r="P63" s="50"/>
      <c r="Q63" s="7" t="s">
        <v>19</v>
      </c>
      <c r="R63" s="7" t="s">
        <v>267</v>
      </c>
      <c r="S63" s="8" t="s">
        <v>30</v>
      </c>
      <c r="T63" s="8" t="s">
        <v>341</v>
      </c>
      <c r="U63" s="7" t="s">
        <v>652</v>
      </c>
      <c r="W63">
        <v>1</v>
      </c>
      <c r="X63" t="s">
        <v>1958</v>
      </c>
      <c r="Y63">
        <f t="shared" si="0"/>
        <v>189</v>
      </c>
      <c r="Z63" t="str">
        <f t="shared" si="1"/>
        <v>C41-1</v>
      </c>
      <c r="AB63">
        <v>217</v>
      </c>
      <c r="AC63" t="s">
        <v>2150</v>
      </c>
    </row>
    <row r="64" spans="1:29">
      <c r="A64" s="77" t="s">
        <v>254</v>
      </c>
      <c r="B64" s="77" t="str">
        <f>Texte!$B$212</f>
        <v>Solivage, solives apparentes, plancher simple avec chape humide (lignum)</v>
      </c>
      <c r="C64" s="77" t="s">
        <v>506</v>
      </c>
      <c r="D64" s="77" t="s">
        <v>516</v>
      </c>
      <c r="E64" s="77" t="s">
        <v>242</v>
      </c>
      <c r="F64" s="77" t="s">
        <v>30</v>
      </c>
      <c r="G64" s="7">
        <v>60</v>
      </c>
      <c r="H64" s="43">
        <v>2.6064814814814814</v>
      </c>
      <c r="I64" s="43">
        <v>0</v>
      </c>
      <c r="J64" s="43">
        <v>0</v>
      </c>
      <c r="K64" s="47">
        <v>0.71716666666666673</v>
      </c>
      <c r="L64" s="47"/>
      <c r="M64" s="47"/>
      <c r="N64" s="50">
        <v>1173.4000000000001</v>
      </c>
      <c r="O64" s="50"/>
      <c r="P64" s="50"/>
      <c r="Q64" s="7" t="s">
        <v>19</v>
      </c>
      <c r="R64" s="7" t="s">
        <v>267</v>
      </c>
      <c r="S64" s="8" t="s">
        <v>30</v>
      </c>
      <c r="T64" s="8" t="s">
        <v>341</v>
      </c>
      <c r="U64" s="7" t="s">
        <v>652</v>
      </c>
      <c r="W64">
        <v>2</v>
      </c>
      <c r="X64" t="s">
        <v>1959</v>
      </c>
      <c r="Y64">
        <f t="shared" si="0"/>
        <v>190</v>
      </c>
      <c r="Z64" t="str">
        <f t="shared" si="1"/>
        <v>C41-2</v>
      </c>
      <c r="AB64">
        <v>218</v>
      </c>
      <c r="AC64" t="s">
        <v>2151</v>
      </c>
    </row>
    <row r="65" spans="1:29">
      <c r="A65" s="77" t="s">
        <v>254</v>
      </c>
      <c r="B65" s="77" t="str">
        <f>Texte!$B$213</f>
        <v>Solivage, solives apparentes, plancher simple avec chape sèche (lignum)</v>
      </c>
      <c r="C65" s="77" t="s">
        <v>509</v>
      </c>
      <c r="D65" s="77" t="s">
        <v>519</v>
      </c>
      <c r="E65" s="77" t="s">
        <v>242</v>
      </c>
      <c r="F65" s="77" t="s">
        <v>30</v>
      </c>
      <c r="G65" s="7">
        <v>60</v>
      </c>
      <c r="H65" s="43">
        <v>2.9861111111111112</v>
      </c>
      <c r="I65" s="43">
        <v>0</v>
      </c>
      <c r="J65" s="43">
        <v>0</v>
      </c>
      <c r="K65" s="47">
        <v>0.60833333333333328</v>
      </c>
      <c r="L65" s="47"/>
      <c r="M65" s="47"/>
      <c r="N65" s="50">
        <v>1054.2833333333333</v>
      </c>
      <c r="O65" s="50"/>
      <c r="P65" s="50"/>
      <c r="Q65" s="7" t="s">
        <v>19</v>
      </c>
      <c r="R65" s="7" t="s">
        <v>267</v>
      </c>
      <c r="S65" s="8" t="s">
        <v>30</v>
      </c>
      <c r="T65" s="8" t="s">
        <v>341</v>
      </c>
      <c r="U65" s="7" t="s">
        <v>652</v>
      </c>
      <c r="W65">
        <v>3</v>
      </c>
      <c r="X65" t="s">
        <v>1960</v>
      </c>
      <c r="Y65">
        <f t="shared" si="0"/>
        <v>191</v>
      </c>
      <c r="Z65" t="str">
        <f t="shared" si="1"/>
        <v>C41-3</v>
      </c>
      <c r="AB65">
        <v>219</v>
      </c>
      <c r="AC65" t="s">
        <v>2152</v>
      </c>
    </row>
    <row r="66" spans="1:29">
      <c r="A66" s="77" t="s">
        <v>254</v>
      </c>
      <c r="B66" s="77" t="str">
        <f>Texte!$B$214</f>
        <v>Solivage, chape sèche et faux-plafond (lignum)</v>
      </c>
      <c r="C66" s="77" t="s">
        <v>508</v>
      </c>
      <c r="D66" s="77" t="s">
        <v>518</v>
      </c>
      <c r="E66" s="77" t="s">
        <v>242</v>
      </c>
      <c r="F66" s="77" t="s">
        <v>30</v>
      </c>
      <c r="G66" s="7">
        <v>60</v>
      </c>
      <c r="H66" s="43">
        <v>4.5648148148148149</v>
      </c>
      <c r="I66" s="43">
        <v>0</v>
      </c>
      <c r="J66" s="43">
        <v>0</v>
      </c>
      <c r="K66" s="47">
        <v>0.97349999999999992</v>
      </c>
      <c r="L66" s="47"/>
      <c r="M66" s="47"/>
      <c r="N66" s="50">
        <v>1332.65</v>
      </c>
      <c r="O66" s="50"/>
      <c r="P66" s="50"/>
      <c r="Q66" s="7" t="s">
        <v>19</v>
      </c>
      <c r="R66" s="7" t="s">
        <v>267</v>
      </c>
      <c r="S66" s="8" t="s">
        <v>30</v>
      </c>
      <c r="T66" s="8" t="s">
        <v>341</v>
      </c>
      <c r="U66" s="7" t="s">
        <v>652</v>
      </c>
      <c r="W66">
        <v>4</v>
      </c>
      <c r="X66" t="s">
        <v>1961</v>
      </c>
      <c r="Y66">
        <f t="shared" si="0"/>
        <v>192</v>
      </c>
      <c r="Z66" t="str">
        <f t="shared" si="1"/>
        <v>C41-4</v>
      </c>
      <c r="AB66">
        <v>220</v>
      </c>
      <c r="AC66" t="s">
        <v>2154</v>
      </c>
    </row>
    <row r="67" spans="1:29">
      <c r="A67" s="77" t="s">
        <v>254</v>
      </c>
      <c r="B67" s="77" t="str">
        <f>Texte!$B$215</f>
        <v>Dalle en béton 22 cm avec isolation thermique EPS intérieure, isolation contre les bruits de choc, chape flottante (CC)</v>
      </c>
      <c r="C67" s="77" t="s">
        <v>543</v>
      </c>
      <c r="D67" s="77" t="s">
        <v>544</v>
      </c>
      <c r="E67" s="77" t="s">
        <v>242</v>
      </c>
      <c r="F67" s="77" t="s">
        <v>30</v>
      </c>
      <c r="G67" s="42">
        <f>(I67+J67)/H67</f>
        <v>39.655571635311148</v>
      </c>
      <c r="H67" s="43">
        <v>9.5972222222222214</v>
      </c>
      <c r="I67" s="43">
        <v>344.66666666666663</v>
      </c>
      <c r="J67" s="43">
        <v>35.916666666666671</v>
      </c>
      <c r="K67" s="47">
        <v>3.22</v>
      </c>
      <c r="L67" s="47">
        <v>114.56</v>
      </c>
      <c r="M67" s="47">
        <v>20.59</v>
      </c>
      <c r="N67" s="50">
        <v>3345</v>
      </c>
      <c r="O67" s="50">
        <v>127506</v>
      </c>
      <c r="P67" s="50">
        <v>26097</v>
      </c>
      <c r="Q67" s="7" t="s">
        <v>20</v>
      </c>
      <c r="R67" s="7" t="s">
        <v>267</v>
      </c>
      <c r="S67" s="8" t="s">
        <v>30</v>
      </c>
      <c r="T67" s="8" t="s">
        <v>341</v>
      </c>
      <c r="U67" s="7" t="s">
        <v>651</v>
      </c>
      <c r="W67">
        <v>5</v>
      </c>
      <c r="X67" t="s">
        <v>1962</v>
      </c>
      <c r="Y67">
        <f t="shared" si="0"/>
        <v>193</v>
      </c>
      <c r="Z67" t="str">
        <f t="shared" si="1"/>
        <v>C41-5</v>
      </c>
      <c r="AB67">
        <v>221</v>
      </c>
      <c r="AC67" t="s">
        <v>2155</v>
      </c>
    </row>
    <row r="68" spans="1:29">
      <c r="A68" s="77" t="s">
        <v>254</v>
      </c>
      <c r="B68" s="77" t="str">
        <f>Texte!$B$216</f>
        <v>Dalle en béton 22 cm avec isolation thermique PUR intérieure, chape flottante (CC)</v>
      </c>
      <c r="C68" s="77" t="s">
        <v>541</v>
      </c>
      <c r="D68" s="77" t="s">
        <v>542</v>
      </c>
      <c r="E68" s="77" t="s">
        <v>242</v>
      </c>
      <c r="F68" s="77" t="s">
        <v>30</v>
      </c>
      <c r="G68" s="42">
        <f>(I68+J68)/H68</f>
        <v>39.899079845651535</v>
      </c>
      <c r="H68" s="43">
        <v>9.3583333333333325</v>
      </c>
      <c r="I68" s="43">
        <v>335.19444444444446</v>
      </c>
      <c r="J68" s="43">
        <v>38.194444444444443</v>
      </c>
      <c r="K68" s="47">
        <v>3.29</v>
      </c>
      <c r="L68" s="47">
        <v>117.74</v>
      </c>
      <c r="M68" s="47">
        <v>19.38</v>
      </c>
      <c r="N68" s="50">
        <v>3576</v>
      </c>
      <c r="O68" s="50">
        <v>133795</v>
      </c>
      <c r="P68" s="50">
        <v>26727</v>
      </c>
      <c r="Q68" s="7" t="s">
        <v>20</v>
      </c>
      <c r="R68" s="7" t="s">
        <v>267</v>
      </c>
      <c r="S68" s="8" t="s">
        <v>30</v>
      </c>
      <c r="T68" s="8" t="s">
        <v>341</v>
      </c>
      <c r="U68" s="7" t="s">
        <v>651</v>
      </c>
      <c r="W68">
        <v>6</v>
      </c>
      <c r="X68" t="s">
        <v>1963</v>
      </c>
      <c r="Y68">
        <f t="shared" si="0"/>
        <v>194</v>
      </c>
      <c r="Z68" t="str">
        <f t="shared" si="1"/>
        <v>C41-6</v>
      </c>
      <c r="AB68">
        <v>222</v>
      </c>
      <c r="AC68" t="s">
        <v>2156</v>
      </c>
    </row>
    <row r="69" spans="1:29">
      <c r="A69" s="77" t="s">
        <v>254</v>
      </c>
      <c r="B69" s="77" t="str">
        <f>Texte!$B$217</f>
        <v>Dalle en béton 22 cm avec isolation contre les bruits de choc, chape flottante (CC)</v>
      </c>
      <c r="C69" s="77" t="s">
        <v>546</v>
      </c>
      <c r="D69" s="77" t="s">
        <v>545</v>
      </c>
      <c r="E69" s="77" t="s">
        <v>242</v>
      </c>
      <c r="F69" s="77" t="s">
        <v>30</v>
      </c>
      <c r="G69" s="42">
        <f>(I69+J69)/H69</f>
        <v>42.734912146676855</v>
      </c>
      <c r="H69" s="43">
        <v>7.2722222222222221</v>
      </c>
      <c r="I69" s="43">
        <v>274.08333333333331</v>
      </c>
      <c r="J69" s="43">
        <v>36.694444444444443</v>
      </c>
      <c r="K69" s="47">
        <v>2.71</v>
      </c>
      <c r="L69" s="47">
        <v>107.33</v>
      </c>
      <c r="M69" s="47">
        <v>12.42</v>
      </c>
      <c r="N69" s="50">
        <v>2997</v>
      </c>
      <c r="O69" s="50">
        <v>121874</v>
      </c>
      <c r="P69" s="50">
        <v>21272</v>
      </c>
      <c r="Q69" s="7" t="s">
        <v>19</v>
      </c>
      <c r="R69" s="7" t="s">
        <v>267</v>
      </c>
      <c r="S69" s="8" t="s">
        <v>30</v>
      </c>
      <c r="T69" s="8" t="s">
        <v>341</v>
      </c>
      <c r="U69" s="7" t="s">
        <v>651</v>
      </c>
      <c r="W69">
        <v>7</v>
      </c>
      <c r="X69" t="s">
        <v>1964</v>
      </c>
      <c r="Y69">
        <f t="shared" si="0"/>
        <v>195</v>
      </c>
      <c r="Z69" t="str">
        <f t="shared" si="1"/>
        <v>C41-7</v>
      </c>
      <c r="AB69">
        <v>223</v>
      </c>
      <c r="AC69" t="s">
        <v>2157</v>
      </c>
    </row>
    <row r="70" spans="1:29">
      <c r="A70" s="77" t="s">
        <v>254</v>
      </c>
      <c r="B70" s="77" t="str">
        <f>Texte!$B$218</f>
        <v>Dalle en béton 22 cm avec isolation thermique extérieure crépie (CC)</v>
      </c>
      <c r="C70" s="77" t="s">
        <v>539</v>
      </c>
      <c r="D70" s="77" t="s">
        <v>540</v>
      </c>
      <c r="E70" s="77" t="s">
        <v>242</v>
      </c>
      <c r="F70" s="77" t="s">
        <v>30</v>
      </c>
      <c r="G70" s="42">
        <f>(I70+J70)/H70</f>
        <v>38.809272918861964</v>
      </c>
      <c r="H70" s="43">
        <v>10.544444444444444</v>
      </c>
      <c r="I70" s="43">
        <v>371.91666666666669</v>
      </c>
      <c r="J70" s="43">
        <v>37.305555555555557</v>
      </c>
      <c r="K70" s="47">
        <v>3.47</v>
      </c>
      <c r="L70" s="47">
        <v>125.9</v>
      </c>
      <c r="M70" s="47">
        <v>16.54</v>
      </c>
      <c r="N70" s="50">
        <v>3709</v>
      </c>
      <c r="O70" s="50">
        <v>140335</v>
      </c>
      <c r="P70" s="50">
        <v>24173</v>
      </c>
      <c r="Q70" s="7" t="s">
        <v>20</v>
      </c>
      <c r="R70" s="7" t="s">
        <v>267</v>
      </c>
      <c r="S70" s="8" t="s">
        <v>30</v>
      </c>
      <c r="T70" s="8" t="s">
        <v>341</v>
      </c>
      <c r="U70" s="7" t="s">
        <v>651</v>
      </c>
      <c r="W70">
        <v>8</v>
      </c>
      <c r="X70" t="s">
        <v>1965</v>
      </c>
      <c r="Y70">
        <f t="shared" si="0"/>
        <v>196</v>
      </c>
      <c r="Z70" t="str">
        <f t="shared" si="1"/>
        <v>C41-8</v>
      </c>
      <c r="AB70">
        <v>224</v>
      </c>
      <c r="AC70" t="s">
        <v>2159</v>
      </c>
    </row>
    <row r="71" spans="1:29">
      <c r="A71" s="75" t="s">
        <v>254</v>
      </c>
      <c r="B71" s="77" t="str">
        <f>Texte!$B$306</f>
        <v>Plafond en béton 25 cm avec enduit intérieur (SIA 2032)</v>
      </c>
      <c r="C71" s="75"/>
      <c r="D71" s="75"/>
      <c r="E71" s="75" t="s">
        <v>242</v>
      </c>
      <c r="F71" s="75" t="s">
        <v>30</v>
      </c>
      <c r="G71" s="8">
        <v>59</v>
      </c>
      <c r="H71" s="44">
        <v>4.1549401687898087</v>
      </c>
      <c r="I71" s="44">
        <v>196.8233312101911</v>
      </c>
      <c r="J71" s="44">
        <v>32.063228917197449</v>
      </c>
      <c r="K71" s="48">
        <v>1.448309483014862</v>
      </c>
      <c r="L71" s="53">
        <v>73.223839490445883</v>
      </c>
      <c r="M71" s="53">
        <v>7.3484344904458601</v>
      </c>
      <c r="N71" s="50">
        <v>2272.7338460721867</v>
      </c>
      <c r="O71" s="50">
        <v>113790.33439490446</v>
      </c>
      <c r="P71" s="55">
        <v>16562.396369426751</v>
      </c>
      <c r="Q71" s="8" t="s">
        <v>19</v>
      </c>
      <c r="R71" s="7" t="s">
        <v>267</v>
      </c>
      <c r="S71" s="8" t="s">
        <v>30</v>
      </c>
      <c r="T71" s="8" t="s">
        <v>341</v>
      </c>
      <c r="U71" s="7" t="s">
        <v>761</v>
      </c>
      <c r="W71">
        <v>9</v>
      </c>
      <c r="X71" t="s">
        <v>1966</v>
      </c>
      <c r="Y71">
        <f t="shared" si="0"/>
        <v>284</v>
      </c>
      <c r="Z71" t="str">
        <f t="shared" si="1"/>
        <v>C41-9</v>
      </c>
      <c r="AB71">
        <v>225</v>
      </c>
      <c r="AC71" t="s">
        <v>2161</v>
      </c>
    </row>
    <row r="72" spans="1:29">
      <c r="A72" s="77" t="s">
        <v>254</v>
      </c>
      <c r="B72" s="77" t="str">
        <f>Texte!$B$219</f>
        <v>Plancher en bois massif (BSH) 16cm, isolation contre les bruits de choc, chape flottante (CC)</v>
      </c>
      <c r="C72" s="77" t="s">
        <v>549</v>
      </c>
      <c r="D72" s="77" t="s">
        <v>550</v>
      </c>
      <c r="E72" s="77" t="s">
        <v>242</v>
      </c>
      <c r="F72" s="77" t="s">
        <v>30</v>
      </c>
      <c r="G72" s="42">
        <f>(I72+J72)/H72</f>
        <v>46.858071505958819</v>
      </c>
      <c r="H72" s="43">
        <v>5.1277777777777782</v>
      </c>
      <c r="I72" s="43">
        <v>228.9722222222222</v>
      </c>
      <c r="J72" s="43">
        <v>11.305555555555555</v>
      </c>
      <c r="K72" s="47">
        <v>0.99</v>
      </c>
      <c r="L72" s="47">
        <v>39.86</v>
      </c>
      <c r="M72" s="47">
        <v>10.1</v>
      </c>
      <c r="N72" s="50">
        <v>2054</v>
      </c>
      <c r="O72" s="50">
        <v>69584</v>
      </c>
      <c r="P72" s="50">
        <v>36903</v>
      </c>
      <c r="Q72" s="7" t="s">
        <v>19</v>
      </c>
      <c r="R72" s="7" t="s">
        <v>267</v>
      </c>
      <c r="S72" s="8" t="s">
        <v>30</v>
      </c>
      <c r="T72" s="8" t="s">
        <v>341</v>
      </c>
      <c r="U72" s="7" t="s">
        <v>651</v>
      </c>
      <c r="W72">
        <v>10</v>
      </c>
      <c r="X72" t="s">
        <v>1967</v>
      </c>
      <c r="Y72">
        <f t="shared" si="0"/>
        <v>197</v>
      </c>
      <c r="Z72" t="str">
        <f t="shared" si="1"/>
        <v>C41-10</v>
      </c>
      <c r="AB72">
        <v>226</v>
      </c>
      <c r="AC72" t="s">
        <v>2162</v>
      </c>
    </row>
    <row r="73" spans="1:29">
      <c r="A73" s="77" t="s">
        <v>254</v>
      </c>
      <c r="B73" s="77" t="str">
        <f>Texte!$B$220</f>
        <v>Plancher en éléments à caissons, chape humide et faux-plafond (lignum)</v>
      </c>
      <c r="C73" s="77" t="s">
        <v>511</v>
      </c>
      <c r="D73" s="77" t="s">
        <v>521</v>
      </c>
      <c r="E73" s="77" t="s">
        <v>242</v>
      </c>
      <c r="F73" s="77" t="s">
        <v>30</v>
      </c>
      <c r="G73" s="7">
        <v>60</v>
      </c>
      <c r="H73" s="43">
        <v>3.4722222222222223</v>
      </c>
      <c r="I73" s="43">
        <v>0</v>
      </c>
      <c r="J73" s="43">
        <v>0</v>
      </c>
      <c r="K73" s="47">
        <v>0.92500000000000004</v>
      </c>
      <c r="L73" s="47"/>
      <c r="M73" s="47"/>
      <c r="N73" s="50">
        <v>1330.7</v>
      </c>
      <c r="O73" s="50"/>
      <c r="P73" s="50"/>
      <c r="Q73" s="7" t="s">
        <v>19</v>
      </c>
      <c r="R73" s="7" t="s">
        <v>267</v>
      </c>
      <c r="S73" s="8" t="s">
        <v>30</v>
      </c>
      <c r="T73" s="8" t="s">
        <v>341</v>
      </c>
      <c r="U73" s="7" t="s">
        <v>652</v>
      </c>
      <c r="W73">
        <v>11</v>
      </c>
      <c r="X73" t="s">
        <v>1968</v>
      </c>
      <c r="Y73">
        <f t="shared" si="0"/>
        <v>198</v>
      </c>
      <c r="Z73" t="str">
        <f t="shared" si="1"/>
        <v>C41-11</v>
      </c>
      <c r="AB73">
        <v>227</v>
      </c>
      <c r="AC73" t="s">
        <v>2163</v>
      </c>
    </row>
    <row r="74" spans="1:29">
      <c r="A74" s="77" t="s">
        <v>254</v>
      </c>
      <c r="B74" s="77" t="str">
        <f>Texte!$B$221</f>
        <v>Plancher en éléments à caissons, chape humide, pas de faux-plafond (lignum)</v>
      </c>
      <c r="C74" s="77" t="s">
        <v>510</v>
      </c>
      <c r="D74" s="77" t="s">
        <v>520</v>
      </c>
      <c r="E74" s="77" t="s">
        <v>242</v>
      </c>
      <c r="F74" s="77" t="s">
        <v>30</v>
      </c>
      <c r="G74" s="7">
        <v>60</v>
      </c>
      <c r="H74" s="43">
        <v>2.8657407407407405</v>
      </c>
      <c r="I74" s="43">
        <v>0</v>
      </c>
      <c r="J74" s="43">
        <v>0</v>
      </c>
      <c r="K74" s="47">
        <v>0.57266666666666666</v>
      </c>
      <c r="L74" s="47"/>
      <c r="M74" s="47"/>
      <c r="N74" s="50">
        <v>1117.7</v>
      </c>
      <c r="O74" s="50"/>
      <c r="P74" s="50"/>
      <c r="Q74" s="7" t="s">
        <v>19</v>
      </c>
      <c r="R74" s="7" t="s">
        <v>267</v>
      </c>
      <c r="S74" s="8" t="s">
        <v>30</v>
      </c>
      <c r="T74" s="8" t="s">
        <v>341</v>
      </c>
      <c r="U74" s="7" t="s">
        <v>652</v>
      </c>
      <c r="W74">
        <v>12</v>
      </c>
      <c r="X74" t="s">
        <v>1969</v>
      </c>
      <c r="Y74">
        <f t="shared" ref="Y74:Y137" si="3">RIGHT(X74,3)*1</f>
        <v>199</v>
      </c>
      <c r="Z74" t="str">
        <f t="shared" ref="Z74:Z137" si="4">RIGHT(A74,LEN(A74)-SEARCH("_",A74,3))&amp;"-"&amp;W74</f>
        <v>C41-12</v>
      </c>
      <c r="AB74">
        <v>228</v>
      </c>
      <c r="AC74" t="s">
        <v>2166</v>
      </c>
    </row>
    <row r="75" spans="1:29">
      <c r="A75" s="77" t="s">
        <v>254</v>
      </c>
      <c r="B75" s="77" t="str">
        <f>Texte!$B$222</f>
        <v>Plancher à poutres de bois avec isolation ininterrompue en laine de pierre 8cm, revêtement côté extérieur, panneau de particules côté intérieur (CC)</v>
      </c>
      <c r="C75" s="77" t="s">
        <v>551</v>
      </c>
      <c r="D75" s="77" t="s">
        <v>552</v>
      </c>
      <c r="E75" s="77" t="s">
        <v>242</v>
      </c>
      <c r="F75" s="77" t="s">
        <v>30</v>
      </c>
      <c r="G75" s="42">
        <f>(I75+J75)/H75</f>
        <v>31.213930348258703</v>
      </c>
      <c r="H75" s="43">
        <v>2.791666666666667</v>
      </c>
      <c r="I75" s="43">
        <v>85.305555555555557</v>
      </c>
      <c r="J75" s="43">
        <v>1.8333333333333333</v>
      </c>
      <c r="K75" s="47">
        <v>0.6</v>
      </c>
      <c r="L75" s="47">
        <v>15.98</v>
      </c>
      <c r="M75" s="47">
        <v>2.48</v>
      </c>
      <c r="N75" s="50">
        <v>1085</v>
      </c>
      <c r="O75" s="50">
        <v>20481</v>
      </c>
      <c r="P75" s="50">
        <v>16038</v>
      </c>
      <c r="Q75" s="7" t="s">
        <v>20</v>
      </c>
      <c r="R75" s="7" t="s">
        <v>267</v>
      </c>
      <c r="S75" s="8" t="s">
        <v>30</v>
      </c>
      <c r="T75" s="8" t="s">
        <v>341</v>
      </c>
      <c r="U75" s="7" t="s">
        <v>651</v>
      </c>
      <c r="W75">
        <v>13</v>
      </c>
      <c r="X75" t="s">
        <v>1970</v>
      </c>
      <c r="Y75">
        <f t="shared" si="3"/>
        <v>200</v>
      </c>
      <c r="Z75" t="str">
        <f t="shared" si="4"/>
        <v>C41-13</v>
      </c>
      <c r="AB75">
        <v>229</v>
      </c>
      <c r="AC75" t="s">
        <v>2167</v>
      </c>
    </row>
    <row r="76" spans="1:29">
      <c r="A76" s="75" t="s">
        <v>254</v>
      </c>
      <c r="B76" s="77" t="str">
        <f>Texte!$B$308</f>
        <v>Composite bois-béton (avec revêtement inférieur en plâtre) (SIA 2032)</v>
      </c>
      <c r="C76" s="75"/>
      <c r="D76" s="75"/>
      <c r="E76" s="75" t="s">
        <v>242</v>
      </c>
      <c r="F76" s="75" t="s">
        <v>30</v>
      </c>
      <c r="G76" s="8">
        <v>58</v>
      </c>
      <c r="H76" s="44">
        <v>2.1596988969214435</v>
      </c>
      <c r="I76" s="44">
        <v>69.92656974522292</v>
      </c>
      <c r="J76" s="44">
        <v>13.011947070063695</v>
      </c>
      <c r="K76" s="48">
        <v>0.66206773796178342</v>
      </c>
      <c r="L76" s="53">
        <v>25.923532738853506</v>
      </c>
      <c r="M76" s="53">
        <v>2.7284157388535029</v>
      </c>
      <c r="N76" s="50">
        <v>1019.7199481953292</v>
      </c>
      <c r="O76" s="50">
        <v>41901.960127388535</v>
      </c>
      <c r="P76" s="55">
        <v>7124.9757643312105</v>
      </c>
      <c r="Q76" s="8" t="s">
        <v>19</v>
      </c>
      <c r="R76" s="7" t="s">
        <v>267</v>
      </c>
      <c r="S76" s="8" t="s">
        <v>30</v>
      </c>
      <c r="T76" s="8" t="s">
        <v>341</v>
      </c>
      <c r="U76" s="7" t="s">
        <v>761</v>
      </c>
      <c r="W76">
        <v>14</v>
      </c>
      <c r="X76" t="s">
        <v>1971</v>
      </c>
      <c r="Y76">
        <f t="shared" si="3"/>
        <v>286</v>
      </c>
      <c r="Z76" t="str">
        <f t="shared" si="4"/>
        <v>C41-14</v>
      </c>
      <c r="AB76">
        <v>230</v>
      </c>
      <c r="AC76" t="s">
        <v>2168</v>
      </c>
    </row>
    <row r="77" spans="1:29">
      <c r="A77" s="77" t="s">
        <v>254</v>
      </c>
      <c r="B77" s="77" t="str">
        <f>Texte!$B$223</f>
        <v>Dalle mixte bois-béton, chape humide, pas de faux-plafond (lignum)</v>
      </c>
      <c r="C77" s="77" t="s">
        <v>515</v>
      </c>
      <c r="D77" s="77" t="s">
        <v>525</v>
      </c>
      <c r="E77" s="77" t="s">
        <v>242</v>
      </c>
      <c r="F77" s="77" t="s">
        <v>30</v>
      </c>
      <c r="G77" s="7">
        <v>60</v>
      </c>
      <c r="H77" s="43">
        <v>2.9027777777777777</v>
      </c>
      <c r="I77" s="43">
        <v>0</v>
      </c>
      <c r="J77" s="43">
        <v>0</v>
      </c>
      <c r="K77" s="47">
        <v>0.85249999999999992</v>
      </c>
      <c r="L77" s="47"/>
      <c r="M77" s="47"/>
      <c r="N77" s="50">
        <v>1554.8</v>
      </c>
      <c r="O77" s="50"/>
      <c r="P77" s="50"/>
      <c r="Q77" s="7" t="s">
        <v>19</v>
      </c>
      <c r="R77" s="7" t="s">
        <v>267</v>
      </c>
      <c r="S77" s="8" t="s">
        <v>30</v>
      </c>
      <c r="T77" s="8" t="s">
        <v>341</v>
      </c>
      <c r="U77" s="7" t="s">
        <v>652</v>
      </c>
      <c r="W77">
        <v>15</v>
      </c>
      <c r="X77" t="s">
        <v>1972</v>
      </c>
      <c r="Y77">
        <f t="shared" si="3"/>
        <v>201</v>
      </c>
      <c r="Z77" t="str">
        <f t="shared" si="4"/>
        <v>C41-15</v>
      </c>
      <c r="AB77">
        <v>231</v>
      </c>
      <c r="AC77" t="s">
        <v>2171</v>
      </c>
    </row>
    <row r="78" spans="1:29">
      <c r="A78" s="75" t="s">
        <v>254</v>
      </c>
      <c r="B78" s="77" t="str">
        <f>Texte!$B$307</f>
        <v>Plafond à éléments en bois (avec revêtement inférieur en plâtre) (SIA 2032)</v>
      </c>
      <c r="C78" s="75"/>
      <c r="D78" s="75"/>
      <c r="E78" s="75" t="s">
        <v>242</v>
      </c>
      <c r="F78" s="75" t="s">
        <v>30</v>
      </c>
      <c r="G78" s="8">
        <v>56</v>
      </c>
      <c r="H78" s="44">
        <v>1.5354086300000001</v>
      </c>
      <c r="I78" s="44">
        <v>40.186591999999997</v>
      </c>
      <c r="J78" s="44">
        <v>5.2945088</v>
      </c>
      <c r="K78" s="48">
        <v>0.32159057000000002</v>
      </c>
      <c r="L78" s="53">
        <v>6.8233120000000005</v>
      </c>
      <c r="M78" s="53">
        <v>1.4000064000000001</v>
      </c>
      <c r="N78" s="50">
        <v>659.23981666666668</v>
      </c>
      <c r="O78" s="50">
        <v>24114.400000000001</v>
      </c>
      <c r="P78" s="55">
        <v>3283.7280000000001</v>
      </c>
      <c r="Q78" s="8" t="s">
        <v>19</v>
      </c>
      <c r="R78" s="7" t="s">
        <v>267</v>
      </c>
      <c r="S78" s="8" t="s">
        <v>30</v>
      </c>
      <c r="T78" s="8" t="s">
        <v>341</v>
      </c>
      <c r="U78" s="7" t="s">
        <v>761</v>
      </c>
      <c r="W78">
        <v>16</v>
      </c>
      <c r="X78" t="s">
        <v>1973</v>
      </c>
      <c r="Y78">
        <f t="shared" si="3"/>
        <v>285</v>
      </c>
      <c r="Z78" t="str">
        <f t="shared" si="4"/>
        <v>C41-16</v>
      </c>
      <c r="AB78">
        <v>232</v>
      </c>
      <c r="AC78" t="s">
        <v>2172</v>
      </c>
    </row>
    <row r="79" spans="1:29">
      <c r="A79" s="77" t="s">
        <v>254</v>
      </c>
      <c r="B79" s="77" t="str">
        <f>Texte!$B$224</f>
        <v>Plancher à caissons en bois avec isolation thermique intégrée, isolation contre les bruits de choc, panneau de particules (CC)</v>
      </c>
      <c r="C79" s="77" t="s">
        <v>553</v>
      </c>
      <c r="D79" s="77" t="s">
        <v>554</v>
      </c>
      <c r="E79" s="77" t="s">
        <v>242</v>
      </c>
      <c r="F79" s="77" t="s">
        <v>30</v>
      </c>
      <c r="G79" s="42">
        <f>(I79+J79)/H79</f>
        <v>45.833807626636307</v>
      </c>
      <c r="H79" s="43">
        <v>4.8805555555555555</v>
      </c>
      <c r="I79" s="43">
        <v>220.66666666666666</v>
      </c>
      <c r="J79" s="43">
        <v>3.0277777777777777</v>
      </c>
      <c r="K79" s="47">
        <v>0.97</v>
      </c>
      <c r="L79" s="47">
        <v>39.35</v>
      </c>
      <c r="M79" s="47">
        <v>7.08</v>
      </c>
      <c r="N79" s="50">
        <v>1732</v>
      </c>
      <c r="O79" s="50">
        <v>58774</v>
      </c>
      <c r="P79" s="50">
        <v>26888</v>
      </c>
      <c r="Q79" s="7" t="s">
        <v>20</v>
      </c>
      <c r="R79" s="7" t="s">
        <v>267</v>
      </c>
      <c r="S79" s="8" t="s">
        <v>30</v>
      </c>
      <c r="T79" s="8" t="s">
        <v>341</v>
      </c>
      <c r="U79" s="7" t="s">
        <v>651</v>
      </c>
      <c r="W79">
        <v>17</v>
      </c>
      <c r="X79" t="s">
        <v>1974</v>
      </c>
      <c r="Y79">
        <f t="shared" si="3"/>
        <v>202</v>
      </c>
      <c r="Z79" t="str">
        <f t="shared" si="4"/>
        <v>C41-17</v>
      </c>
      <c r="AB79">
        <v>233</v>
      </c>
      <c r="AC79" t="s">
        <v>2173</v>
      </c>
    </row>
    <row r="80" spans="1:29">
      <c r="A80" s="77" t="s">
        <v>254</v>
      </c>
      <c r="B80" s="77" t="str">
        <f>Texte!$B$225</f>
        <v>Plancher en bois massif, chape humide et faux-plafond (lignum)</v>
      </c>
      <c r="C80" s="77" t="s">
        <v>514</v>
      </c>
      <c r="D80" s="77" t="s">
        <v>524</v>
      </c>
      <c r="E80" s="77" t="s">
        <v>242</v>
      </c>
      <c r="F80" s="77" t="s">
        <v>30</v>
      </c>
      <c r="G80" s="7">
        <v>60</v>
      </c>
      <c r="H80" s="43">
        <v>5.2268518518518521</v>
      </c>
      <c r="I80" s="43">
        <v>0</v>
      </c>
      <c r="J80" s="43">
        <v>0</v>
      </c>
      <c r="K80" s="47">
        <v>1.2495000000000001</v>
      </c>
      <c r="L80" s="47"/>
      <c r="M80" s="47"/>
      <c r="N80" s="50">
        <v>2206.4833333333331</v>
      </c>
      <c r="O80" s="50"/>
      <c r="P80" s="50"/>
      <c r="Q80" s="7" t="s">
        <v>19</v>
      </c>
      <c r="R80" s="7" t="s">
        <v>267</v>
      </c>
      <c r="S80" s="8" t="s">
        <v>30</v>
      </c>
      <c r="T80" s="8" t="s">
        <v>341</v>
      </c>
      <c r="U80" s="7" t="s">
        <v>652</v>
      </c>
      <c r="W80">
        <v>18</v>
      </c>
      <c r="X80" t="s">
        <v>1975</v>
      </c>
      <c r="Y80">
        <f t="shared" si="3"/>
        <v>203</v>
      </c>
      <c r="Z80" t="str">
        <f t="shared" si="4"/>
        <v>C41-18</v>
      </c>
      <c r="AB80">
        <v>234</v>
      </c>
      <c r="AC80" t="s">
        <v>2174</v>
      </c>
    </row>
    <row r="81" spans="1:32">
      <c r="A81" s="77" t="s">
        <v>254</v>
      </c>
      <c r="B81" s="77" t="str">
        <f>Texte!$B$226</f>
        <v>Plancher en bois massif, chape humide, pas de faux-plafond (lignum)</v>
      </c>
      <c r="C81" s="77" t="s">
        <v>512</v>
      </c>
      <c r="D81" s="77" t="s">
        <v>522</v>
      </c>
      <c r="E81" s="77" t="s">
        <v>242</v>
      </c>
      <c r="F81" s="77" t="s">
        <v>30</v>
      </c>
      <c r="G81" s="7">
        <v>60</v>
      </c>
      <c r="H81" s="43">
        <v>2.4953703703703702</v>
      </c>
      <c r="I81" s="43">
        <v>0</v>
      </c>
      <c r="J81" s="43">
        <v>0</v>
      </c>
      <c r="K81" s="47">
        <v>0.5116666666666666</v>
      </c>
      <c r="L81" s="47"/>
      <c r="M81" s="47"/>
      <c r="N81" s="50">
        <v>1336.6833333333334</v>
      </c>
      <c r="O81" s="50"/>
      <c r="P81" s="50"/>
      <c r="Q81" s="7" t="s">
        <v>19</v>
      </c>
      <c r="R81" s="7" t="s">
        <v>267</v>
      </c>
      <c r="S81" s="8" t="s">
        <v>30</v>
      </c>
      <c r="T81" s="8" t="s">
        <v>341</v>
      </c>
      <c r="U81" s="7" t="s">
        <v>652</v>
      </c>
      <c r="W81">
        <v>19</v>
      </c>
      <c r="X81" t="s">
        <v>1976</v>
      </c>
      <c r="Y81">
        <f t="shared" si="3"/>
        <v>204</v>
      </c>
      <c r="Z81" t="str">
        <f t="shared" si="4"/>
        <v>C41-19</v>
      </c>
      <c r="AB81">
        <v>235</v>
      </c>
      <c r="AC81" t="s">
        <v>2175</v>
      </c>
    </row>
    <row r="82" spans="1:32">
      <c r="A82" s="77" t="s">
        <v>254</v>
      </c>
      <c r="B82" s="77" t="str">
        <f>Texte!$B$227</f>
        <v>Plancher en bois massif, chape sèche et faux-plafond (lignum)</v>
      </c>
      <c r="C82" s="77" t="s">
        <v>513</v>
      </c>
      <c r="D82" s="77" t="s">
        <v>523</v>
      </c>
      <c r="E82" s="77" t="s">
        <v>242</v>
      </c>
      <c r="F82" s="77" t="s">
        <v>30</v>
      </c>
      <c r="G82" s="7">
        <v>60</v>
      </c>
      <c r="H82" s="43">
        <v>6.2546296296296289</v>
      </c>
      <c r="I82" s="43">
        <v>0</v>
      </c>
      <c r="J82" s="43">
        <v>0</v>
      </c>
      <c r="K82" s="47">
        <v>1.294</v>
      </c>
      <c r="L82" s="47"/>
      <c r="M82" s="47"/>
      <c r="N82" s="50">
        <v>2153.4666666666667</v>
      </c>
      <c r="O82" s="50"/>
      <c r="P82" s="50"/>
      <c r="Q82" s="7" t="s">
        <v>19</v>
      </c>
      <c r="R82" s="7" t="s">
        <v>267</v>
      </c>
      <c r="S82" s="8" t="s">
        <v>30</v>
      </c>
      <c r="T82" s="8" t="s">
        <v>341</v>
      </c>
      <c r="U82" s="7" t="s">
        <v>652</v>
      </c>
      <c r="W82">
        <v>20</v>
      </c>
      <c r="X82" t="s">
        <v>1977</v>
      </c>
      <c r="Y82">
        <f t="shared" si="3"/>
        <v>205</v>
      </c>
      <c r="Z82" t="str">
        <f t="shared" si="4"/>
        <v>C41-20</v>
      </c>
      <c r="AB82">
        <v>236</v>
      </c>
      <c r="AC82" t="s">
        <v>2176</v>
      </c>
    </row>
    <row r="83" spans="1:32">
      <c r="A83" s="77" t="s">
        <v>254</v>
      </c>
      <c r="B83" s="77" t="str">
        <f>Texte!$B$228</f>
        <v>Dalle en béton 18cm avec coffrage perdu en tôle trapézoïdale, isolation contre les bruits de choc, chape flottante (CC)</v>
      </c>
      <c r="C83" s="77" t="s">
        <v>547</v>
      </c>
      <c r="D83" s="77" t="s">
        <v>548</v>
      </c>
      <c r="E83" s="77" t="s">
        <v>242</v>
      </c>
      <c r="F83" s="77" t="s">
        <v>30</v>
      </c>
      <c r="G83" s="42">
        <f>(I83+J83)/H83</f>
        <v>51.522004889975548</v>
      </c>
      <c r="H83" s="43">
        <v>9.0888888888888886</v>
      </c>
      <c r="I83" s="43">
        <v>437.83333333333331</v>
      </c>
      <c r="J83" s="43">
        <v>30.444444444444443</v>
      </c>
      <c r="K83" s="47">
        <v>2.88</v>
      </c>
      <c r="L83" s="47">
        <v>137.44999999999999</v>
      </c>
      <c r="M83" s="47">
        <v>6.83</v>
      </c>
      <c r="N83" s="50">
        <v>5806</v>
      </c>
      <c r="O83" s="50">
        <v>306475</v>
      </c>
      <c r="P83" s="50">
        <v>15756</v>
      </c>
      <c r="Q83" s="7" t="s">
        <v>19</v>
      </c>
      <c r="R83" s="7" t="s">
        <v>267</v>
      </c>
      <c r="S83" s="8" t="s">
        <v>30</v>
      </c>
      <c r="T83" s="8" t="s">
        <v>341</v>
      </c>
      <c r="U83" s="7" t="s">
        <v>651</v>
      </c>
      <c r="W83">
        <v>21</v>
      </c>
      <c r="X83" t="s">
        <v>1978</v>
      </c>
      <c r="Y83">
        <f t="shared" si="3"/>
        <v>206</v>
      </c>
      <c r="Z83" t="str">
        <f t="shared" si="4"/>
        <v>C41-21</v>
      </c>
      <c r="AB83">
        <v>237</v>
      </c>
      <c r="AC83" t="s">
        <v>2177</v>
      </c>
    </row>
    <row r="84" spans="1:32">
      <c r="A84" s="75" t="s">
        <v>801</v>
      </c>
      <c r="B84" s="77" t="str">
        <f>Texte!$B$313</f>
        <v>Balcon avec protection contre les chutes (SIA 2032)</v>
      </c>
      <c r="C84" s="75"/>
      <c r="D84" s="75"/>
      <c r="E84" s="75" t="s">
        <v>242</v>
      </c>
      <c r="F84" s="75" t="s">
        <v>30</v>
      </c>
      <c r="G84" s="8">
        <v>40</v>
      </c>
      <c r="H84" s="44">
        <v>12.294208041089965</v>
      </c>
      <c r="I84" s="44">
        <v>466.0375525519031</v>
      </c>
      <c r="J84" s="44">
        <v>25.730769091695496</v>
      </c>
      <c r="K84" s="48">
        <v>3.5227781790657433</v>
      </c>
      <c r="L84" s="53">
        <v>134.49696245674738</v>
      </c>
      <c r="M84" s="53">
        <v>6.4141647058823521</v>
      </c>
      <c r="N84" s="50">
        <v>28400.913812499999</v>
      </c>
      <c r="O84" s="50">
        <v>1113550.0874999999</v>
      </c>
      <c r="P84" s="55">
        <v>22486.464999999997</v>
      </c>
      <c r="Q84" s="8" t="s">
        <v>19</v>
      </c>
      <c r="R84" s="8"/>
      <c r="S84" s="8" t="s">
        <v>30</v>
      </c>
      <c r="T84" s="8" t="s">
        <v>341</v>
      </c>
      <c r="U84" s="7" t="s">
        <v>761</v>
      </c>
      <c r="W84">
        <v>1</v>
      </c>
      <c r="X84" t="s">
        <v>1979</v>
      </c>
      <c r="Y84">
        <f t="shared" si="3"/>
        <v>291</v>
      </c>
      <c r="Z84" t="str">
        <f t="shared" si="4"/>
        <v>C43-1</v>
      </c>
      <c r="AB84">
        <v>238</v>
      </c>
      <c r="AC84" t="s">
        <v>2178</v>
      </c>
    </row>
    <row r="85" spans="1:32">
      <c r="A85" s="75" t="s">
        <v>255</v>
      </c>
      <c r="B85" s="77" t="str">
        <f>Texte!$B$299</f>
        <v>Plafond en béton 25 cm avec enduit intérieur, isolé (SIA 2032)</v>
      </c>
      <c r="C85" s="75"/>
      <c r="D85" s="75"/>
      <c r="E85" s="75" t="s">
        <v>242</v>
      </c>
      <c r="F85" s="75" t="s">
        <v>30</v>
      </c>
      <c r="G85" s="8">
        <v>59</v>
      </c>
      <c r="H85" s="44">
        <v>26.659946835456481</v>
      </c>
      <c r="I85" s="44">
        <v>868.30333121019112</v>
      </c>
      <c r="J85" s="44">
        <v>35.73342891719745</v>
      </c>
      <c r="K85" s="48">
        <v>6.6894694830148618</v>
      </c>
      <c r="L85" s="53">
        <v>218.88983949044587</v>
      </c>
      <c r="M85" s="53">
        <v>18.91723449044586</v>
      </c>
      <c r="N85" s="50">
        <v>10235.867179405519</v>
      </c>
      <c r="O85" s="50">
        <v>345312.33439490444</v>
      </c>
      <c r="P85" s="55">
        <v>23934.396369426751</v>
      </c>
      <c r="Q85" s="8" t="s">
        <v>20</v>
      </c>
      <c r="R85" s="8"/>
      <c r="S85" s="8" t="s">
        <v>30</v>
      </c>
      <c r="T85" s="8" t="s">
        <v>341</v>
      </c>
      <c r="U85" s="7" t="s">
        <v>761</v>
      </c>
      <c r="W85">
        <v>1</v>
      </c>
      <c r="X85" s="72" t="s">
        <v>1980</v>
      </c>
      <c r="Y85">
        <f t="shared" si="3"/>
        <v>277</v>
      </c>
      <c r="Z85" t="str">
        <f t="shared" si="4"/>
        <v>C44-1</v>
      </c>
      <c r="AA85" s="72"/>
      <c r="AB85">
        <v>239</v>
      </c>
      <c r="AC85" t="s">
        <v>2179</v>
      </c>
      <c r="AD85" s="72">
        <f>P85+P$147</f>
        <v>31306.396369426751</v>
      </c>
    </row>
    <row r="86" spans="1:32">
      <c r="A86" s="75" t="s">
        <v>255</v>
      </c>
      <c r="B86" s="77" t="str">
        <f>Texte!$B$300</f>
        <v>Plafond en béton 40 cm avec enduit intérieur, isolé (SIA 2032)</v>
      </c>
      <c r="C86" s="75"/>
      <c r="D86" s="75"/>
      <c r="E86" s="75" t="s">
        <v>242</v>
      </c>
      <c r="F86" s="75" t="s">
        <v>30</v>
      </c>
      <c r="G86" s="8">
        <v>59</v>
      </c>
      <c r="H86" s="44">
        <v>29.942240253715504</v>
      </c>
      <c r="I86" s="44">
        <v>1047.3555796178343</v>
      </c>
      <c r="J86" s="44">
        <v>53.618785605095539</v>
      </c>
      <c r="K86" s="48">
        <v>7.6576288036093416</v>
      </c>
      <c r="L86" s="53">
        <v>273.50261910828027</v>
      </c>
      <c r="M86" s="53">
        <v>22.394014108280253</v>
      </c>
      <c r="N86" s="50">
        <v>12501.117688959661</v>
      </c>
      <c r="O86" s="50">
        <v>472201.11019108281</v>
      </c>
      <c r="P86" s="55">
        <v>32960.651146496821</v>
      </c>
      <c r="Q86" s="8" t="s">
        <v>20</v>
      </c>
      <c r="R86" s="8"/>
      <c r="S86" s="8" t="s">
        <v>30</v>
      </c>
      <c r="T86" s="8" t="s">
        <v>341</v>
      </c>
      <c r="U86" s="7" t="s">
        <v>761</v>
      </c>
      <c r="W86">
        <v>2</v>
      </c>
      <c r="X86" s="72" t="s">
        <v>1981</v>
      </c>
      <c r="Y86">
        <f t="shared" si="3"/>
        <v>278</v>
      </c>
      <c r="Z86" t="str">
        <f t="shared" si="4"/>
        <v>C44-2</v>
      </c>
      <c r="AA86" s="72"/>
      <c r="AB86">
        <v>240</v>
      </c>
      <c r="AC86" t="s">
        <v>2181</v>
      </c>
      <c r="AD86" s="72">
        <f>P86+P$147</f>
        <v>40332.651146496821</v>
      </c>
    </row>
    <row r="87" spans="1:32">
      <c r="A87" s="75" t="s">
        <v>255</v>
      </c>
      <c r="B87" s="77" t="str">
        <f>Texte!$B$282</f>
        <v>Toiture isolée sous le terrain (SIA 2032)</v>
      </c>
      <c r="C87" s="75"/>
      <c r="D87" s="75"/>
      <c r="E87" s="75" t="s">
        <v>242</v>
      </c>
      <c r="F87" s="75" t="s">
        <v>30</v>
      </c>
      <c r="G87" s="8">
        <v>60</v>
      </c>
      <c r="H87" s="44">
        <v>11.342333333333332</v>
      </c>
      <c r="I87" s="44">
        <v>635.54</v>
      </c>
      <c r="J87" s="44">
        <v>45</v>
      </c>
      <c r="K87" s="48">
        <f>(L87+M87)/$G87</f>
        <v>3.6171666666666669</v>
      </c>
      <c r="L87" s="53">
        <v>153</v>
      </c>
      <c r="M87" s="53">
        <v>64.03</v>
      </c>
      <c r="N87" s="50">
        <f>(O87+P87)/$G87</f>
        <v>4462.2994999999992</v>
      </c>
      <c r="O87" s="50">
        <v>219495</v>
      </c>
      <c r="P87" s="50">
        <v>48242.97</v>
      </c>
      <c r="Q87" s="8" t="s">
        <v>20</v>
      </c>
      <c r="R87" s="8"/>
      <c r="S87" s="8" t="s">
        <v>30</v>
      </c>
      <c r="T87" s="8" t="s">
        <v>341</v>
      </c>
      <c r="U87" s="7" t="s">
        <v>761</v>
      </c>
      <c r="W87">
        <v>3</v>
      </c>
      <c r="X87" t="s">
        <v>1982</v>
      </c>
      <c r="Y87">
        <f t="shared" si="3"/>
        <v>260</v>
      </c>
      <c r="Z87" t="str">
        <f t="shared" si="4"/>
        <v>C44-3</v>
      </c>
      <c r="AB87">
        <v>241</v>
      </c>
      <c r="AC87" t="s">
        <v>2184</v>
      </c>
    </row>
    <row r="88" spans="1:32">
      <c r="A88" s="75" t="s">
        <v>255</v>
      </c>
      <c r="B88" s="77" t="str">
        <f>Texte!$B$281</f>
        <v>Toit sous terrain non isolé (SIA 2032)</v>
      </c>
      <c r="C88" s="75"/>
      <c r="D88" s="75"/>
      <c r="E88" s="75" t="s">
        <v>242</v>
      </c>
      <c r="F88" s="75" t="s">
        <v>30</v>
      </c>
      <c r="G88" s="8">
        <v>60</v>
      </c>
      <c r="H88" s="44">
        <v>5.8386666666666667</v>
      </c>
      <c r="I88" s="44">
        <v>309.45</v>
      </c>
      <c r="J88" s="44">
        <v>40.869999999999997</v>
      </c>
      <c r="K88" s="48">
        <f>(L88+M88)/$G88</f>
        <v>1.911</v>
      </c>
      <c r="L88" s="8">
        <v>90.92</v>
      </c>
      <c r="M88" s="8">
        <v>23.74</v>
      </c>
      <c r="N88" s="50">
        <f>(O88+P88)/$G88</f>
        <v>3106.1016666666669</v>
      </c>
      <c r="O88" s="50">
        <v>158321.5</v>
      </c>
      <c r="P88" s="50">
        <v>28044.6</v>
      </c>
      <c r="Q88" s="8" t="s">
        <v>19</v>
      </c>
      <c r="R88" s="8"/>
      <c r="S88" s="8" t="s">
        <v>30</v>
      </c>
      <c r="T88" s="8" t="s">
        <v>341</v>
      </c>
      <c r="U88" s="7" t="s">
        <v>761</v>
      </c>
      <c r="W88">
        <v>4</v>
      </c>
      <c r="X88" t="s">
        <v>1983</v>
      </c>
      <c r="Y88">
        <f t="shared" si="3"/>
        <v>259</v>
      </c>
      <c r="Z88" t="str">
        <f t="shared" si="4"/>
        <v>C44-4</v>
      </c>
      <c r="AB88">
        <v>242</v>
      </c>
      <c r="AC88" t="s">
        <v>2185</v>
      </c>
    </row>
    <row r="89" spans="1:32">
      <c r="A89" s="77" t="s">
        <v>255</v>
      </c>
      <c r="B89" s="77" t="str">
        <f>Texte!$B$229</f>
        <v>Structure du toit en bois massif (lignum)</v>
      </c>
      <c r="C89" s="77" t="s">
        <v>528</v>
      </c>
      <c r="D89" s="77" t="s">
        <v>531</v>
      </c>
      <c r="E89" s="77" t="s">
        <v>242</v>
      </c>
      <c r="F89" s="77" t="s">
        <v>30</v>
      </c>
      <c r="G89" s="7">
        <v>60</v>
      </c>
      <c r="H89" s="43">
        <v>4.6203703703703702</v>
      </c>
      <c r="I89" s="43">
        <v>0</v>
      </c>
      <c r="J89" s="43">
        <v>0</v>
      </c>
      <c r="K89" s="47">
        <v>0.9986666666666667</v>
      </c>
      <c r="L89" s="47"/>
      <c r="M89" s="47"/>
      <c r="N89" s="50">
        <v>1491.5833333333333</v>
      </c>
      <c r="O89" s="50"/>
      <c r="P89" s="50"/>
      <c r="Q89" s="7" t="s">
        <v>20</v>
      </c>
      <c r="R89" s="7"/>
      <c r="S89" s="8" t="s">
        <v>30</v>
      </c>
      <c r="T89" s="8" t="s">
        <v>341</v>
      </c>
      <c r="U89" s="7" t="s">
        <v>652</v>
      </c>
      <c r="W89">
        <v>5</v>
      </c>
      <c r="X89" t="s">
        <v>1984</v>
      </c>
      <c r="Y89">
        <f t="shared" si="3"/>
        <v>207</v>
      </c>
      <c r="Z89" t="str">
        <f t="shared" si="4"/>
        <v>C44-5</v>
      </c>
      <c r="AB89">
        <v>243</v>
      </c>
      <c r="AC89" t="s">
        <v>2186</v>
      </c>
    </row>
    <row r="90" spans="1:32">
      <c r="A90" s="77" t="s">
        <v>255</v>
      </c>
      <c r="B90" s="77" t="str">
        <f>Texte!$B$230</f>
        <v>Structure du toit en bois, poutres/chevrons avec contreventement en panneau dérivé du bois (lignum)</v>
      </c>
      <c r="C90" s="77" t="s">
        <v>527</v>
      </c>
      <c r="D90" s="77" t="s">
        <v>530</v>
      </c>
      <c r="E90" s="77" t="s">
        <v>242</v>
      </c>
      <c r="F90" s="77" t="s">
        <v>30</v>
      </c>
      <c r="G90" s="7">
        <v>60</v>
      </c>
      <c r="H90" s="43">
        <v>2.833333333333333</v>
      </c>
      <c r="I90" s="43">
        <v>0</v>
      </c>
      <c r="J90" s="43">
        <v>0</v>
      </c>
      <c r="K90" s="47">
        <v>0.6898333333333333</v>
      </c>
      <c r="L90" s="47"/>
      <c r="M90" s="47"/>
      <c r="N90" s="50">
        <v>904.76666666666665</v>
      </c>
      <c r="O90" s="50"/>
      <c r="P90" s="50"/>
      <c r="Q90" s="7" t="s">
        <v>20</v>
      </c>
      <c r="R90" s="7"/>
      <c r="S90" s="8" t="s">
        <v>30</v>
      </c>
      <c r="T90" s="8" t="s">
        <v>341</v>
      </c>
      <c r="U90" s="7" t="s">
        <v>652</v>
      </c>
      <c r="W90">
        <v>6</v>
      </c>
      <c r="X90" t="s">
        <v>1985</v>
      </c>
      <c r="Y90">
        <f t="shared" si="3"/>
        <v>208</v>
      </c>
      <c r="Z90" t="str">
        <f t="shared" si="4"/>
        <v>C44-6</v>
      </c>
      <c r="AB90">
        <v>244</v>
      </c>
      <c r="AC90" t="s">
        <v>2187</v>
      </c>
    </row>
    <row r="91" spans="1:32">
      <c r="A91" s="77" t="s">
        <v>255</v>
      </c>
      <c r="B91" s="77" t="str">
        <f>Texte!$B$231</f>
        <v>Structure du toit en bois, poutres/chevrons apparents (lignum)</v>
      </c>
      <c r="C91" s="77" t="s">
        <v>526</v>
      </c>
      <c r="D91" s="77" t="s">
        <v>529</v>
      </c>
      <c r="E91" s="77" t="s">
        <v>242</v>
      </c>
      <c r="F91" s="77" t="s">
        <v>30</v>
      </c>
      <c r="G91" s="7">
        <v>60</v>
      </c>
      <c r="H91" s="43">
        <v>3.3194444444444442</v>
      </c>
      <c r="I91" s="43">
        <v>0</v>
      </c>
      <c r="J91" s="43">
        <v>0</v>
      </c>
      <c r="K91" s="47">
        <v>0.7446666666666667</v>
      </c>
      <c r="L91" s="47"/>
      <c r="M91" s="47"/>
      <c r="N91" s="50">
        <v>999.65</v>
      </c>
      <c r="O91" s="50"/>
      <c r="P91" s="50"/>
      <c r="Q91" s="7" t="s">
        <v>20</v>
      </c>
      <c r="R91" s="7"/>
      <c r="S91" s="8" t="s">
        <v>30</v>
      </c>
      <c r="T91" s="8" t="s">
        <v>341</v>
      </c>
      <c r="U91" s="7" t="s">
        <v>652</v>
      </c>
      <c r="W91">
        <v>7</v>
      </c>
      <c r="X91" t="s">
        <v>1986</v>
      </c>
      <c r="Y91">
        <f t="shared" si="3"/>
        <v>209</v>
      </c>
      <c r="Z91" t="str">
        <f t="shared" si="4"/>
        <v>C44-7</v>
      </c>
      <c r="AB91">
        <v>245</v>
      </c>
      <c r="AC91" t="s">
        <v>2188</v>
      </c>
    </row>
    <row r="92" spans="1:32">
      <c r="A92" s="77" t="s">
        <v>255</v>
      </c>
      <c r="B92" s="77" t="str">
        <f>Texte!$B$232</f>
        <v>Toit plat, dalle en béton 22cm, isolation thermique EPS, lé d'étanchéité bitumineux, couche de protection, accessible (CC)</v>
      </c>
      <c r="C92" s="77" t="s">
        <v>557</v>
      </c>
      <c r="D92" s="77" t="s">
        <v>558</v>
      </c>
      <c r="E92" s="77" t="s">
        <v>242</v>
      </c>
      <c r="F92" s="77" t="s">
        <v>30</v>
      </c>
      <c r="G92" s="42">
        <f>(I92+J92)/H92</f>
        <v>35.805545805545812</v>
      </c>
      <c r="H92" s="43">
        <v>15.827777777777776</v>
      </c>
      <c r="I92" s="43">
        <v>528.58333333333337</v>
      </c>
      <c r="J92" s="43">
        <v>38.138888888888893</v>
      </c>
      <c r="K92" s="47">
        <v>4.63</v>
      </c>
      <c r="L92" s="47">
        <v>118.96</v>
      </c>
      <c r="M92" s="47">
        <v>56.39</v>
      </c>
      <c r="N92" s="50">
        <v>4616</v>
      </c>
      <c r="O92" s="50">
        <v>140061</v>
      </c>
      <c r="P92" s="50">
        <v>51672</v>
      </c>
      <c r="Q92" s="7" t="s">
        <v>20</v>
      </c>
      <c r="R92" s="7"/>
      <c r="S92" s="8" t="s">
        <v>30</v>
      </c>
      <c r="T92" s="8" t="s">
        <v>341</v>
      </c>
      <c r="U92" s="7" t="s">
        <v>651</v>
      </c>
      <c r="W92">
        <v>8</v>
      </c>
      <c r="X92" t="s">
        <v>1987</v>
      </c>
      <c r="Y92">
        <f t="shared" si="3"/>
        <v>210</v>
      </c>
      <c r="Z92" t="str">
        <f t="shared" si="4"/>
        <v>C44-8</v>
      </c>
      <c r="AB92">
        <v>246</v>
      </c>
      <c r="AC92" t="s">
        <v>2189</v>
      </c>
    </row>
    <row r="93" spans="1:32">
      <c r="A93" s="77" t="s">
        <v>255</v>
      </c>
      <c r="B93" s="77" t="str">
        <f>Texte!$B$233</f>
        <v>Toit plat, dalle en béton 22cm, isolation thermique EPS, lé d'étanchéité bitumineux, gravier (CC)</v>
      </c>
      <c r="C93" s="77" t="s">
        <v>555</v>
      </c>
      <c r="D93" s="77" t="s">
        <v>556</v>
      </c>
      <c r="E93" s="77" t="s">
        <v>242</v>
      </c>
      <c r="F93" s="77" t="s">
        <v>30</v>
      </c>
      <c r="G93" s="42">
        <f>(I93+J93)/H93</f>
        <v>36.076180061964642</v>
      </c>
      <c r="H93" s="43">
        <v>15.241666666666665</v>
      </c>
      <c r="I93" s="43">
        <v>513.83333333333326</v>
      </c>
      <c r="J93" s="43">
        <v>36.027777777777771</v>
      </c>
      <c r="K93" s="47">
        <v>4.3499999999999996</v>
      </c>
      <c r="L93" s="47">
        <v>111.09</v>
      </c>
      <c r="M93" s="47">
        <v>58</v>
      </c>
      <c r="N93" s="50">
        <v>4359</v>
      </c>
      <c r="O93" s="50">
        <v>133383</v>
      </c>
      <c r="P93" s="50">
        <v>50626</v>
      </c>
      <c r="Q93" s="7" t="s">
        <v>20</v>
      </c>
      <c r="R93" s="7"/>
      <c r="S93" s="8" t="s">
        <v>30</v>
      </c>
      <c r="T93" s="8" t="s">
        <v>341</v>
      </c>
      <c r="U93" s="7" t="s">
        <v>651</v>
      </c>
      <c r="W93">
        <v>9</v>
      </c>
      <c r="X93" t="s">
        <v>1988</v>
      </c>
      <c r="Y93">
        <f t="shared" si="3"/>
        <v>211</v>
      </c>
      <c r="Z93" t="str">
        <f t="shared" si="4"/>
        <v>C44-9</v>
      </c>
      <c r="AB93">
        <v>247</v>
      </c>
      <c r="AC93" t="s">
        <v>2190</v>
      </c>
    </row>
    <row r="94" spans="1:32">
      <c r="A94" s="77" t="s">
        <v>255</v>
      </c>
      <c r="B94" s="77" t="str">
        <f>Texte!$B$234</f>
        <v>Toit plat, toit en élément de bois avec isolation thermique intermédiaire, lé d'étanchéité bitumineux, gravier (CC)</v>
      </c>
      <c r="C94" s="77" t="s">
        <v>563</v>
      </c>
      <c r="D94" s="77" t="s">
        <v>564</v>
      </c>
      <c r="E94" s="77" t="s">
        <v>242</v>
      </c>
      <c r="F94" s="77" t="s">
        <v>30</v>
      </c>
      <c r="G94" s="42">
        <f>(I94+J94)/H94</f>
        <v>43.669162695711364</v>
      </c>
      <c r="H94" s="43">
        <v>4.0805555555555557</v>
      </c>
      <c r="I94" s="43">
        <v>168.88888888888889</v>
      </c>
      <c r="J94" s="43">
        <v>9.3055555555555554</v>
      </c>
      <c r="K94" s="47">
        <v>0.96</v>
      </c>
      <c r="L94" s="47">
        <v>26.23</v>
      </c>
      <c r="M94" s="47">
        <v>15.14</v>
      </c>
      <c r="N94" s="50">
        <v>1489</v>
      </c>
      <c r="O94" s="50">
        <v>42987</v>
      </c>
      <c r="P94" s="50">
        <v>25874</v>
      </c>
      <c r="Q94" s="7" t="s">
        <v>20</v>
      </c>
      <c r="R94" s="7"/>
      <c r="S94" s="8" t="s">
        <v>30</v>
      </c>
      <c r="T94" s="8" t="s">
        <v>341</v>
      </c>
      <c r="U94" s="7" t="s">
        <v>651</v>
      </c>
      <c r="W94">
        <v>10</v>
      </c>
      <c r="X94" t="s">
        <v>1989</v>
      </c>
      <c r="Y94">
        <f t="shared" si="3"/>
        <v>212</v>
      </c>
      <c r="Z94" t="str">
        <f t="shared" si="4"/>
        <v>C44-10</v>
      </c>
      <c r="AB94">
        <v>248</v>
      </c>
      <c r="AC94" s="72" t="s">
        <v>2053</v>
      </c>
    </row>
    <row r="95" spans="1:32">
      <c r="A95" s="77" t="s">
        <v>255</v>
      </c>
      <c r="B95" s="77" t="str">
        <f>Texte!$B$235</f>
        <v>Toit plat, tôle trapézoïdale, isolation thermique EPS, accessible (CC)</v>
      </c>
      <c r="C95" s="77" t="s">
        <v>559</v>
      </c>
      <c r="D95" s="77" t="s">
        <v>560</v>
      </c>
      <c r="E95" s="77" t="s">
        <v>242</v>
      </c>
      <c r="F95" s="77" t="s">
        <v>30</v>
      </c>
      <c r="G95" s="42">
        <f>(I95+J95)/H95</f>
        <v>38.180518035912918</v>
      </c>
      <c r="H95" s="43">
        <v>17.480555555555554</v>
      </c>
      <c r="I95" s="43">
        <v>657.83333333333326</v>
      </c>
      <c r="J95" s="43">
        <v>9.5833333333333339</v>
      </c>
      <c r="K95" s="47">
        <v>4.4000000000000004</v>
      </c>
      <c r="L95" s="47">
        <v>111.01</v>
      </c>
      <c r="M95" s="47">
        <v>52.79</v>
      </c>
      <c r="N95" s="50">
        <v>7011</v>
      </c>
      <c r="O95" s="50">
        <v>297673</v>
      </c>
      <c r="P95" s="50">
        <v>37769</v>
      </c>
      <c r="Q95" s="7" t="s">
        <v>20</v>
      </c>
      <c r="R95" s="7"/>
      <c r="S95" s="8" t="s">
        <v>30</v>
      </c>
      <c r="T95" s="8" t="s">
        <v>341</v>
      </c>
      <c r="U95" s="7" t="s">
        <v>651</v>
      </c>
      <c r="W95">
        <v>11</v>
      </c>
      <c r="X95" t="s">
        <v>1990</v>
      </c>
      <c r="Y95">
        <f t="shared" si="3"/>
        <v>213</v>
      </c>
      <c r="Z95" t="str">
        <f t="shared" si="4"/>
        <v>C44-11</v>
      </c>
      <c r="AB95">
        <v>249</v>
      </c>
      <c r="AC95" t="s">
        <v>2055</v>
      </c>
    </row>
    <row r="96" spans="1:32">
      <c r="A96" s="75" t="s">
        <v>255</v>
      </c>
      <c r="B96" s="77" t="str">
        <f>Texte!$B$302</f>
        <v>Plafond en bois avec revêtement inférieur en plâtre, isolé (SIA 2032)</v>
      </c>
      <c r="C96" s="75"/>
      <c r="D96" s="75"/>
      <c r="E96" s="75" t="s">
        <v>242</v>
      </c>
      <c r="F96" s="75" t="s">
        <v>30</v>
      </c>
      <c r="G96" s="8">
        <v>56</v>
      </c>
      <c r="H96" s="44">
        <v>25.199062450000003</v>
      </c>
      <c r="I96" s="44">
        <v>804.51391999999998</v>
      </c>
      <c r="J96" s="44">
        <v>8.9579184999999999</v>
      </c>
      <c r="K96" s="48">
        <v>5.7627076800000001</v>
      </c>
      <c r="L96" s="53">
        <v>168.413578</v>
      </c>
      <c r="M96" s="53">
        <v>14.578024899999999</v>
      </c>
      <c r="N96" s="50">
        <v>9273.5723500000004</v>
      </c>
      <c r="O96" s="50">
        <v>299634.32999999996</v>
      </c>
      <c r="P96" s="55">
        <v>11807.880499999999</v>
      </c>
      <c r="Q96" s="7" t="s">
        <v>20</v>
      </c>
      <c r="R96" s="8"/>
      <c r="S96" s="8" t="s">
        <v>30</v>
      </c>
      <c r="T96" s="8" t="s">
        <v>341</v>
      </c>
      <c r="U96" s="7" t="s">
        <v>761</v>
      </c>
      <c r="W96">
        <v>12</v>
      </c>
      <c r="X96" s="72" t="s">
        <v>1991</v>
      </c>
      <c r="Y96">
        <f t="shared" si="3"/>
        <v>280</v>
      </c>
      <c r="Z96" t="str">
        <f t="shared" si="4"/>
        <v>C44-12</v>
      </c>
      <c r="AA96" s="72"/>
      <c r="AB96">
        <v>250</v>
      </c>
      <c r="AC96" t="s">
        <v>2054</v>
      </c>
      <c r="AD96" s="72">
        <f>P96+P$147</f>
        <v>19179.880499999999</v>
      </c>
      <c r="AE96" s="72"/>
      <c r="AF96" s="72"/>
    </row>
    <row r="97" spans="1:30">
      <c r="A97" s="75" t="s">
        <v>255</v>
      </c>
      <c r="B97" s="77" t="str">
        <f>Texte!$B$303</f>
        <v>Construction en bois, toit en pente, isolé (SIA 2032)</v>
      </c>
      <c r="C97" s="75"/>
      <c r="D97" s="75"/>
      <c r="E97" s="75" t="s">
        <v>242</v>
      </c>
      <c r="F97" s="75" t="s">
        <v>30</v>
      </c>
      <c r="G97" s="8">
        <v>50</v>
      </c>
      <c r="H97" s="44">
        <v>25.206535750000004</v>
      </c>
      <c r="I97" s="44">
        <v>785.30312000000004</v>
      </c>
      <c r="J97" s="44">
        <v>5.2954080000000001</v>
      </c>
      <c r="K97" s="48">
        <v>5.8077673299999999</v>
      </c>
      <c r="L97" s="53">
        <v>166.62011999999999</v>
      </c>
      <c r="M97" s="53">
        <v>13.539004</v>
      </c>
      <c r="N97" s="50">
        <v>8849.6643499999991</v>
      </c>
      <c r="O97" s="50">
        <v>270687</v>
      </c>
      <c r="P97" s="55">
        <v>9242.6</v>
      </c>
      <c r="Q97" s="7" t="s">
        <v>20</v>
      </c>
      <c r="R97" s="8"/>
      <c r="S97" s="8" t="s">
        <v>30</v>
      </c>
      <c r="T97" s="8" t="s">
        <v>341</v>
      </c>
      <c r="U97" s="7" t="s">
        <v>761</v>
      </c>
      <c r="W97">
        <v>13</v>
      </c>
      <c r="X97" s="72" t="s">
        <v>1992</v>
      </c>
      <c r="Y97">
        <f t="shared" si="3"/>
        <v>281</v>
      </c>
      <c r="Z97" t="str">
        <f t="shared" si="4"/>
        <v>C44-13</v>
      </c>
      <c r="AA97" s="72"/>
      <c r="AB97">
        <v>251</v>
      </c>
      <c r="AC97" t="s">
        <v>2056</v>
      </c>
      <c r="AD97" s="72"/>
    </row>
    <row r="98" spans="1:30">
      <c r="A98" s="75" t="s">
        <v>255</v>
      </c>
      <c r="B98" s="77" t="str">
        <f>Texte!$B$327</f>
        <v>Construction en bois, toit en pente, non isolé (SIA 2032)</v>
      </c>
      <c r="C98" s="75"/>
      <c r="D98" s="75"/>
      <c r="E98" s="75" t="s">
        <v>242</v>
      </c>
      <c r="F98" s="75" t="s">
        <v>30</v>
      </c>
      <c r="G98" s="8">
        <v>50</v>
      </c>
      <c r="H98" s="44">
        <v>11.551852222222223</v>
      </c>
      <c r="I98" s="44">
        <v>334.89083333333338</v>
      </c>
      <c r="J98" s="44">
        <v>13.289941333333333</v>
      </c>
      <c r="K98" s="48">
        <v>3.5100179077777787</v>
      </c>
      <c r="L98" s="53">
        <v>67.380670000000009</v>
      </c>
      <c r="M98" s="53">
        <v>43.845971333333338</v>
      </c>
      <c r="N98" s="50">
        <v>3602.3870166666666</v>
      </c>
      <c r="O98" s="50">
        <v>96575.43333333332</v>
      </c>
      <c r="P98" s="55">
        <v>25935.846666666668</v>
      </c>
      <c r="Q98" s="8" t="s">
        <v>19</v>
      </c>
      <c r="R98" s="8"/>
      <c r="S98" s="8" t="s">
        <v>30</v>
      </c>
      <c r="T98" s="8" t="s">
        <v>341</v>
      </c>
      <c r="U98" s="7" t="s">
        <v>761</v>
      </c>
      <c r="W98">
        <v>14</v>
      </c>
      <c r="X98" s="72" t="s">
        <v>1993</v>
      </c>
      <c r="Y98">
        <f t="shared" si="3"/>
        <v>305</v>
      </c>
      <c r="Z98" t="str">
        <f t="shared" si="4"/>
        <v>C44-14</v>
      </c>
      <c r="AA98" s="72"/>
      <c r="AB98">
        <v>252</v>
      </c>
      <c r="AC98" t="s">
        <v>2059</v>
      </c>
      <c r="AD98" s="72"/>
    </row>
    <row r="99" spans="1:30">
      <c r="A99" s="75" t="s">
        <v>255</v>
      </c>
      <c r="B99" s="77" t="str">
        <f>Texte!$B$301</f>
        <v>Plafond composite en tôle profilée, isolé (SIA 2032)</v>
      </c>
      <c r="C99" s="75"/>
      <c r="D99" s="75"/>
      <c r="E99" s="75" t="s">
        <v>242</v>
      </c>
      <c r="F99" s="75" t="s">
        <v>30</v>
      </c>
      <c r="G99" s="8">
        <v>60</v>
      </c>
      <c r="H99" s="44">
        <v>27.84500606157113</v>
      </c>
      <c r="I99" s="44">
        <v>978.48240509554148</v>
      </c>
      <c r="J99" s="44">
        <v>17.067758598726112</v>
      </c>
      <c r="K99" s="48">
        <v>6.6384678407643314</v>
      </c>
      <c r="L99" s="53">
        <v>226.90008522292993</v>
      </c>
      <c r="M99" s="53">
        <v>14.173185222929936</v>
      </c>
      <c r="N99" s="50">
        <v>12431.179369426751</v>
      </c>
      <c r="O99" s="50">
        <v>492843.37745222927</v>
      </c>
      <c r="P99" s="55">
        <v>14133.384713375795</v>
      </c>
      <c r="Q99" s="7" t="s">
        <v>20</v>
      </c>
      <c r="R99" s="8"/>
      <c r="S99" s="8" t="s">
        <v>30</v>
      </c>
      <c r="T99" s="8" t="s">
        <v>341</v>
      </c>
      <c r="U99" s="7" t="s">
        <v>761</v>
      </c>
      <c r="W99">
        <v>15</v>
      </c>
      <c r="X99" s="72" t="s">
        <v>1994</v>
      </c>
      <c r="Y99">
        <f t="shared" si="3"/>
        <v>279</v>
      </c>
      <c r="Z99" t="str">
        <f t="shared" si="4"/>
        <v>C44-15</v>
      </c>
      <c r="AA99" s="72"/>
      <c r="AB99">
        <v>253</v>
      </c>
      <c r="AC99" t="s">
        <v>2060</v>
      </c>
      <c r="AD99" s="72">
        <f>P99+P$147</f>
        <v>21505.384713375795</v>
      </c>
    </row>
    <row r="100" spans="1:30">
      <c r="A100" s="77" t="s">
        <v>255</v>
      </c>
      <c r="B100" s="77" t="str">
        <f>Texte!$B$236</f>
        <v>Toit à pans inclinés, toit en élément de bois avec isolation thermique intermédiaire (CC)</v>
      </c>
      <c r="C100" s="77" t="s">
        <v>566</v>
      </c>
      <c r="D100" s="77" t="s">
        <v>565</v>
      </c>
      <c r="E100" s="77" t="s">
        <v>242</v>
      </c>
      <c r="F100" s="77" t="s">
        <v>30</v>
      </c>
      <c r="G100" s="42">
        <f>(I100+J100)/H100</f>
        <v>48.082026537997592</v>
      </c>
      <c r="H100" s="43">
        <v>4.6055555555555552</v>
      </c>
      <c r="I100" s="43">
        <v>217.94444444444446</v>
      </c>
      <c r="J100" s="43">
        <v>3.5</v>
      </c>
      <c r="K100" s="47">
        <v>1.21</v>
      </c>
      <c r="L100" s="47">
        <v>42.77</v>
      </c>
      <c r="M100" s="47">
        <v>14.07</v>
      </c>
      <c r="N100" s="50">
        <v>1473</v>
      </c>
      <c r="O100" s="50">
        <v>49837</v>
      </c>
      <c r="P100" s="50">
        <v>25204</v>
      </c>
      <c r="Q100" s="7" t="s">
        <v>20</v>
      </c>
      <c r="R100" s="7"/>
      <c r="S100" s="8" t="s">
        <v>30</v>
      </c>
      <c r="T100" s="8" t="s">
        <v>341</v>
      </c>
      <c r="U100" s="7" t="s">
        <v>651</v>
      </c>
      <c r="W100">
        <v>16</v>
      </c>
      <c r="X100" t="s">
        <v>1995</v>
      </c>
      <c r="Y100">
        <f t="shared" si="3"/>
        <v>214</v>
      </c>
      <c r="Z100" t="str">
        <f t="shared" si="4"/>
        <v>C44-16</v>
      </c>
      <c r="AB100">
        <v>254</v>
      </c>
      <c r="AC100" t="s">
        <v>2061</v>
      </c>
    </row>
    <row r="101" spans="1:30">
      <c r="A101" s="77" t="s">
        <v>255</v>
      </c>
      <c r="B101" s="77" t="str">
        <f>Texte!$B$237</f>
        <v>Toit à pans inclinés, chevrons avec isolation thermique intermédiaire et isolation complémentaire (CC)</v>
      </c>
      <c r="C101" s="77" t="s">
        <v>561</v>
      </c>
      <c r="D101" s="77" t="s">
        <v>562</v>
      </c>
      <c r="E101" s="77" t="s">
        <v>242</v>
      </c>
      <c r="F101" s="77" t="s">
        <v>30</v>
      </c>
      <c r="G101" s="42">
        <f>(I101+J101)/H101</f>
        <v>39.528049866429207</v>
      </c>
      <c r="H101" s="43">
        <v>3.1194444444444445</v>
      </c>
      <c r="I101" s="43">
        <v>120.86111111111111</v>
      </c>
      <c r="J101" s="43">
        <v>2.4444444444444446</v>
      </c>
      <c r="K101" s="47">
        <v>0.82</v>
      </c>
      <c r="L101" s="47">
        <v>30.89</v>
      </c>
      <c r="M101" s="47">
        <v>1.54</v>
      </c>
      <c r="N101" s="50">
        <v>1159</v>
      </c>
      <c r="O101" s="50">
        <v>30470</v>
      </c>
      <c r="P101" s="50">
        <v>16273</v>
      </c>
      <c r="Q101" s="7" t="s">
        <v>20</v>
      </c>
      <c r="R101" s="7"/>
      <c r="S101" s="8" t="s">
        <v>30</v>
      </c>
      <c r="T101" s="8" t="s">
        <v>341</v>
      </c>
      <c r="U101" s="7" t="s">
        <v>651</v>
      </c>
      <c r="W101">
        <v>17</v>
      </c>
      <c r="X101" t="s">
        <v>1996</v>
      </c>
      <c r="Y101">
        <f t="shared" si="3"/>
        <v>215</v>
      </c>
      <c r="Z101" t="str">
        <f t="shared" si="4"/>
        <v>C44-17</v>
      </c>
      <c r="AB101">
        <v>255</v>
      </c>
      <c r="AC101" t="s">
        <v>2063</v>
      </c>
    </row>
    <row r="102" spans="1:30">
      <c r="A102" s="75" t="s">
        <v>256</v>
      </c>
      <c r="B102" s="77" t="str">
        <f>Texte!$B$322</f>
        <v>Système d'évacuation d'air de la cuisine et de la salle de bain (SIA 2032)</v>
      </c>
      <c r="C102" s="75"/>
      <c r="D102" s="75"/>
      <c r="E102" s="75" t="s">
        <v>246</v>
      </c>
      <c r="F102" s="75" t="s">
        <v>30</v>
      </c>
      <c r="G102" s="8">
        <v>30</v>
      </c>
      <c r="H102" s="44">
        <v>0.50388333333333335</v>
      </c>
      <c r="I102" s="44">
        <v>15.1</v>
      </c>
      <c r="J102" s="44">
        <v>1.6500000000000001E-2</v>
      </c>
      <c r="K102" s="48">
        <v>0.11353333333333332</v>
      </c>
      <c r="L102" s="53">
        <v>3.28</v>
      </c>
      <c r="M102" s="53">
        <v>0.126</v>
      </c>
      <c r="N102" s="50">
        <v>445.52333333333331</v>
      </c>
      <c r="O102" s="50">
        <v>13300</v>
      </c>
      <c r="P102" s="55">
        <v>65.7</v>
      </c>
      <c r="Q102" s="8" t="s">
        <v>19</v>
      </c>
      <c r="R102" s="7" t="s">
        <v>268</v>
      </c>
      <c r="S102" s="8" t="s">
        <v>30</v>
      </c>
      <c r="T102" s="8" t="s">
        <v>2344</v>
      </c>
      <c r="U102" s="7" t="s">
        <v>761</v>
      </c>
      <c r="W102">
        <v>1</v>
      </c>
      <c r="X102" t="s">
        <v>1997</v>
      </c>
      <c r="Y102">
        <f t="shared" si="3"/>
        <v>300</v>
      </c>
      <c r="Z102" t="str">
        <f t="shared" si="4"/>
        <v>D-1</v>
      </c>
      <c r="AB102">
        <v>256</v>
      </c>
      <c r="AC102" t="s">
        <v>2062</v>
      </c>
    </row>
    <row r="103" spans="1:30">
      <c r="A103" s="77" t="s">
        <v>256</v>
      </c>
      <c r="B103" s="77" t="str">
        <f>Texte!$B$238</f>
        <v>Evacuation d'air: séjour, cuisine et salle de bain</v>
      </c>
      <c r="C103" s="77" t="s">
        <v>678</v>
      </c>
      <c r="D103" s="78" t="s">
        <v>659</v>
      </c>
      <c r="E103" s="77" t="s">
        <v>246</v>
      </c>
      <c r="F103" s="77" t="s">
        <v>30</v>
      </c>
      <c r="G103" s="7">
        <v>30</v>
      </c>
      <c r="H103" s="44">
        <v>0.50388333333333335</v>
      </c>
      <c r="I103" s="44">
        <v>15.1</v>
      </c>
      <c r="J103" s="44">
        <v>1.6500000000000001E-2</v>
      </c>
      <c r="K103" s="48">
        <f>(L103+M103)/$G103</f>
        <v>0.11353333333333332</v>
      </c>
      <c r="L103" s="48">
        <v>3.28</v>
      </c>
      <c r="M103" s="48">
        <v>0.126</v>
      </c>
      <c r="N103" s="46">
        <f>(O103+P103)/$G103</f>
        <v>445.52333333333337</v>
      </c>
      <c r="O103" s="46">
        <v>13300</v>
      </c>
      <c r="P103" s="46">
        <v>65.7</v>
      </c>
      <c r="Q103" s="7" t="s">
        <v>19</v>
      </c>
      <c r="R103" s="7" t="s">
        <v>268</v>
      </c>
      <c r="S103" s="8" t="s">
        <v>30</v>
      </c>
      <c r="T103" s="8" t="s">
        <v>2344</v>
      </c>
      <c r="U103" s="7" t="s">
        <v>657</v>
      </c>
      <c r="W103">
        <v>2</v>
      </c>
      <c r="X103" t="s">
        <v>1998</v>
      </c>
      <c r="Y103">
        <f t="shared" si="3"/>
        <v>216</v>
      </c>
      <c r="Z103" t="str">
        <f t="shared" si="4"/>
        <v>D-2</v>
      </c>
      <c r="AB103">
        <v>257</v>
      </c>
      <c r="AC103" t="s">
        <v>2068</v>
      </c>
    </row>
    <row r="104" spans="1:30">
      <c r="A104" s="75" t="s">
        <v>256</v>
      </c>
      <c r="B104" s="77" t="str">
        <f>Texte!$B$315</f>
        <v>Système électrique bureau (SIA 2032)</v>
      </c>
      <c r="C104" s="75"/>
      <c r="D104" s="75"/>
      <c r="E104" s="75" t="s">
        <v>246</v>
      </c>
      <c r="F104" s="75" t="s">
        <v>30</v>
      </c>
      <c r="G104" s="8">
        <v>30</v>
      </c>
      <c r="H104" s="44">
        <v>3.7944</v>
      </c>
      <c r="I104" s="44">
        <v>113</v>
      </c>
      <c r="J104" s="44">
        <v>0.83199999999999996</v>
      </c>
      <c r="K104" s="48">
        <v>0.79499999999999993</v>
      </c>
      <c r="L104" s="53">
        <v>22.4</v>
      </c>
      <c r="M104" s="53">
        <v>1.45</v>
      </c>
      <c r="N104" s="50">
        <v>3896.6666666666665</v>
      </c>
      <c r="O104" s="50">
        <v>116000</v>
      </c>
      <c r="P104" s="55">
        <v>900</v>
      </c>
      <c r="Q104" s="8" t="s">
        <v>19</v>
      </c>
      <c r="R104" s="7" t="s">
        <v>268</v>
      </c>
      <c r="S104" s="8" t="s">
        <v>30</v>
      </c>
      <c r="T104" s="8" t="s">
        <v>2345</v>
      </c>
      <c r="U104" s="7" t="s">
        <v>761</v>
      </c>
      <c r="W104">
        <v>3</v>
      </c>
      <c r="X104" t="s">
        <v>1999</v>
      </c>
      <c r="Y104">
        <f t="shared" si="3"/>
        <v>293</v>
      </c>
      <c r="Z104" t="str">
        <f t="shared" si="4"/>
        <v>D-3</v>
      </c>
      <c r="AB104">
        <v>258</v>
      </c>
      <c r="AC104" t="s">
        <v>2067</v>
      </c>
    </row>
    <row r="105" spans="1:30">
      <c r="A105" s="75" t="s">
        <v>256</v>
      </c>
      <c r="B105" s="77" t="str">
        <f>Texte!$B$314</f>
        <v>Boîtier de l'installation électrique (SIA 2032)</v>
      </c>
      <c r="C105" s="75"/>
      <c r="D105" s="75"/>
      <c r="E105" s="75" t="s">
        <v>246</v>
      </c>
      <c r="F105" s="75" t="s">
        <v>30</v>
      </c>
      <c r="G105" s="8">
        <v>30</v>
      </c>
      <c r="H105" s="44">
        <v>1.8452333333333335</v>
      </c>
      <c r="I105" s="44">
        <v>54.6</v>
      </c>
      <c r="J105" s="44">
        <v>0.75700000000000001</v>
      </c>
      <c r="K105" s="48">
        <v>0.42333333333333334</v>
      </c>
      <c r="L105" s="53">
        <v>9.3000000000000007</v>
      </c>
      <c r="M105" s="53">
        <v>3.4</v>
      </c>
      <c r="N105" s="50">
        <v>1574</v>
      </c>
      <c r="O105" s="50">
        <v>45400</v>
      </c>
      <c r="P105" s="55">
        <v>1820</v>
      </c>
      <c r="Q105" s="8" t="s">
        <v>19</v>
      </c>
      <c r="R105" s="7" t="s">
        <v>268</v>
      </c>
      <c r="S105" s="8" t="s">
        <v>30</v>
      </c>
      <c r="T105" s="8" t="s">
        <v>2345</v>
      </c>
      <c r="U105" s="7" t="s">
        <v>761</v>
      </c>
      <c r="W105">
        <v>4</v>
      </c>
      <c r="X105" t="s">
        <v>2000</v>
      </c>
      <c r="Y105">
        <f t="shared" si="3"/>
        <v>292</v>
      </c>
      <c r="Z105" t="str">
        <f t="shared" si="4"/>
        <v>D-4</v>
      </c>
      <c r="AB105">
        <v>259</v>
      </c>
      <c r="AC105" t="s">
        <v>2132</v>
      </c>
    </row>
    <row r="106" spans="1:30">
      <c r="A106" s="77" t="s">
        <v>256</v>
      </c>
      <c r="B106" s="77" t="str">
        <f>Texte!$B$239</f>
        <v>Installations électriques, bureau</v>
      </c>
      <c r="C106" s="79" t="s">
        <v>683</v>
      </c>
      <c r="D106" s="78" t="s">
        <v>659</v>
      </c>
      <c r="E106" s="77" t="s">
        <v>246</v>
      </c>
      <c r="F106" s="77" t="s">
        <v>30</v>
      </c>
      <c r="G106" s="7">
        <v>30</v>
      </c>
      <c r="H106" s="44">
        <v>3.7944</v>
      </c>
      <c r="I106" s="44">
        <v>113</v>
      </c>
      <c r="J106" s="44">
        <v>0.83199999999999996</v>
      </c>
      <c r="K106" s="48">
        <f>(L106+M106)/$G106</f>
        <v>0.79499999999999993</v>
      </c>
      <c r="L106" s="48">
        <v>22.4</v>
      </c>
      <c r="M106" s="48">
        <v>1.45</v>
      </c>
      <c r="N106" s="46">
        <f>(O106+P106)/$G106</f>
        <v>3896.6666666666665</v>
      </c>
      <c r="O106" s="46">
        <v>116000</v>
      </c>
      <c r="P106" s="46">
        <v>900</v>
      </c>
      <c r="Q106" s="7" t="s">
        <v>19</v>
      </c>
      <c r="R106" s="7" t="s">
        <v>268</v>
      </c>
      <c r="S106" s="8" t="s">
        <v>30</v>
      </c>
      <c r="T106" s="8" t="s">
        <v>2345</v>
      </c>
      <c r="U106" s="7" t="s">
        <v>657</v>
      </c>
      <c r="W106">
        <v>5</v>
      </c>
      <c r="X106" t="s">
        <v>2001</v>
      </c>
      <c r="Y106">
        <f t="shared" si="3"/>
        <v>217</v>
      </c>
      <c r="Z106" t="str">
        <f t="shared" si="4"/>
        <v>D-5</v>
      </c>
      <c r="AB106">
        <v>260</v>
      </c>
      <c r="AC106" t="s">
        <v>2131</v>
      </c>
    </row>
    <row r="107" spans="1:30">
      <c r="A107" s="77" t="s">
        <v>256</v>
      </c>
      <c r="B107" s="77" t="str">
        <f>Texte!$B$240</f>
        <v>Installations électriques, habitation</v>
      </c>
      <c r="C107" s="79" t="s">
        <v>682</v>
      </c>
      <c r="D107" s="78" t="s">
        <v>659</v>
      </c>
      <c r="E107" s="77" t="s">
        <v>246</v>
      </c>
      <c r="F107" s="77" t="s">
        <v>30</v>
      </c>
      <c r="G107" s="7">
        <v>30</v>
      </c>
      <c r="H107" s="44">
        <v>1.8452333333333333</v>
      </c>
      <c r="I107" s="44">
        <v>54.6</v>
      </c>
      <c r="J107" s="44">
        <v>0.75700000000000001</v>
      </c>
      <c r="K107" s="48">
        <f>(L107+M107)/$G107</f>
        <v>0.42333333333333339</v>
      </c>
      <c r="L107" s="48">
        <v>9.3000000000000007</v>
      </c>
      <c r="M107" s="48">
        <v>3.4</v>
      </c>
      <c r="N107" s="46">
        <f>(O107+P107)/$G107</f>
        <v>1574</v>
      </c>
      <c r="O107" s="46">
        <v>45400</v>
      </c>
      <c r="P107" s="46">
        <v>1820</v>
      </c>
      <c r="Q107" s="7" t="s">
        <v>19</v>
      </c>
      <c r="R107" s="7" t="s">
        <v>268</v>
      </c>
      <c r="S107" s="8" t="s">
        <v>30</v>
      </c>
      <c r="T107" s="8" t="s">
        <v>2345</v>
      </c>
      <c r="U107" s="7" t="s">
        <v>657</v>
      </c>
      <c r="W107">
        <v>6</v>
      </c>
      <c r="X107" t="s">
        <v>2002</v>
      </c>
      <c r="Y107">
        <f t="shared" si="3"/>
        <v>218</v>
      </c>
      <c r="Z107" t="str">
        <f t="shared" si="4"/>
        <v>D-6</v>
      </c>
      <c r="AB107">
        <v>261</v>
      </c>
      <c r="AC107" s="72" t="s">
        <v>2079</v>
      </c>
    </row>
    <row r="108" spans="1:30">
      <c r="A108" s="77" t="s">
        <v>256</v>
      </c>
      <c r="B108" s="77" t="str">
        <f>Texte!$B$241</f>
        <v>Sondes géothermiques, pour pompe à chaleur saumure-eau</v>
      </c>
      <c r="C108" s="77" t="s">
        <v>669</v>
      </c>
      <c r="D108" s="78" t="s">
        <v>659</v>
      </c>
      <c r="E108" s="77" t="s">
        <v>655</v>
      </c>
      <c r="F108" s="77" t="s">
        <v>180</v>
      </c>
      <c r="G108" s="7">
        <v>40</v>
      </c>
      <c r="H108" s="44">
        <v>3.2619999999999996</v>
      </c>
      <c r="I108" s="43">
        <v>129</v>
      </c>
      <c r="J108" s="43">
        <v>1.48</v>
      </c>
      <c r="K108" s="48">
        <f>(L108+M108)/$G108</f>
        <v>0.70074999999999998</v>
      </c>
      <c r="L108" s="47">
        <v>25.3</v>
      </c>
      <c r="M108" s="47">
        <v>2.73</v>
      </c>
      <c r="N108" s="46">
        <f>(O108+P108)/$G108</f>
        <v>865</v>
      </c>
      <c r="O108" s="50">
        <v>30500</v>
      </c>
      <c r="P108" s="50">
        <v>4100</v>
      </c>
      <c r="Q108" s="7" t="s">
        <v>19</v>
      </c>
      <c r="R108" s="7" t="s">
        <v>1729</v>
      </c>
      <c r="S108" s="8" t="s">
        <v>180</v>
      </c>
      <c r="T108" s="8" t="s">
        <v>2347</v>
      </c>
      <c r="U108" s="7" t="s">
        <v>657</v>
      </c>
      <c r="W108">
        <v>7</v>
      </c>
      <c r="X108" t="s">
        <v>2003</v>
      </c>
      <c r="Y108">
        <f t="shared" si="3"/>
        <v>219</v>
      </c>
      <c r="Z108" t="str">
        <f t="shared" si="4"/>
        <v>D-7</v>
      </c>
      <c r="AB108">
        <v>262</v>
      </c>
      <c r="AC108" s="72" t="s">
        <v>2080</v>
      </c>
    </row>
    <row r="109" spans="1:30">
      <c r="A109" s="75" t="s">
        <v>256</v>
      </c>
      <c r="B109" s="77" t="str">
        <f>Texte!$B$320</f>
        <v>Sondes géothermiques (SIA 2032)</v>
      </c>
      <c r="C109" s="75"/>
      <c r="D109" s="75"/>
      <c r="E109" s="75" t="s">
        <v>246</v>
      </c>
      <c r="F109" s="75" t="s">
        <v>30</v>
      </c>
      <c r="G109" s="8">
        <v>40</v>
      </c>
      <c r="H109" s="44">
        <v>1.631</v>
      </c>
      <c r="I109" s="44">
        <v>64.5</v>
      </c>
      <c r="J109" s="44">
        <v>0.74</v>
      </c>
      <c r="K109" s="48">
        <v>0.35037500000000005</v>
      </c>
      <c r="L109" s="53">
        <v>12.65</v>
      </c>
      <c r="M109" s="53">
        <v>1.365</v>
      </c>
      <c r="N109" s="50">
        <v>432.5</v>
      </c>
      <c r="O109" s="50">
        <v>15250</v>
      </c>
      <c r="P109" s="55">
        <v>2050</v>
      </c>
      <c r="Q109" s="8" t="s">
        <v>19</v>
      </c>
      <c r="R109" s="7" t="s">
        <v>268</v>
      </c>
      <c r="S109" s="8" t="s">
        <v>30</v>
      </c>
      <c r="T109" s="8" t="s">
        <v>2347</v>
      </c>
      <c r="U109" s="7" t="s">
        <v>761</v>
      </c>
      <c r="W109">
        <v>8</v>
      </c>
      <c r="X109" t="s">
        <v>2004</v>
      </c>
      <c r="Y109">
        <f t="shared" si="3"/>
        <v>298</v>
      </c>
      <c r="Z109" t="str">
        <f t="shared" si="4"/>
        <v>D-8</v>
      </c>
      <c r="AB109">
        <v>263</v>
      </c>
      <c r="AC109" s="72" t="s">
        <v>2081</v>
      </c>
    </row>
    <row r="110" spans="1:30">
      <c r="A110" s="77" t="s">
        <v>256</v>
      </c>
      <c r="B110" s="77" t="str">
        <f>Texte!$B$242</f>
        <v>Collecteurs solaires plans, chauffage et eau chaude  maison individuelle</v>
      </c>
      <c r="C110" s="77" t="s">
        <v>671</v>
      </c>
      <c r="D110" s="78" t="s">
        <v>659</v>
      </c>
      <c r="E110" s="77" t="s">
        <v>656</v>
      </c>
      <c r="F110" s="77" t="s">
        <v>30</v>
      </c>
      <c r="G110" s="7">
        <v>30</v>
      </c>
      <c r="H110" s="44">
        <v>27.466666666666665</v>
      </c>
      <c r="I110" s="43">
        <v>824</v>
      </c>
      <c r="J110" s="43">
        <v>0</v>
      </c>
      <c r="K110" s="48">
        <f>(L110+M110)/$G110</f>
        <v>6.1333333333333337</v>
      </c>
      <c r="L110" s="47">
        <v>184</v>
      </c>
      <c r="M110" s="47">
        <v>0</v>
      </c>
      <c r="N110" s="46">
        <f>(O110+P110)/$G110</f>
        <v>15066.666666666666</v>
      </c>
      <c r="O110" s="50">
        <v>452000</v>
      </c>
      <c r="P110" s="50">
        <v>0</v>
      </c>
      <c r="Q110" s="7" t="s">
        <v>19</v>
      </c>
      <c r="R110" s="7"/>
      <c r="S110" s="8" t="s">
        <v>30</v>
      </c>
      <c r="T110" s="8" t="s">
        <v>2348</v>
      </c>
      <c r="U110" s="7" t="s">
        <v>657</v>
      </c>
      <c r="W110">
        <v>9</v>
      </c>
      <c r="X110" t="s">
        <v>2005</v>
      </c>
      <c r="Y110">
        <f t="shared" si="3"/>
        <v>220</v>
      </c>
      <c r="Z110" t="str">
        <f t="shared" si="4"/>
        <v>D-9</v>
      </c>
      <c r="AB110">
        <v>264</v>
      </c>
      <c r="AC110" t="s">
        <v>2082</v>
      </c>
    </row>
    <row r="111" spans="1:30">
      <c r="A111" s="77" t="s">
        <v>256</v>
      </c>
      <c r="B111" s="77" t="str">
        <f>Texte!$B$243</f>
        <v>Collecteurs solaires plans, eau chaude maison individuelle</v>
      </c>
      <c r="C111" s="77" t="s">
        <v>670</v>
      </c>
      <c r="D111" s="78" t="s">
        <v>659</v>
      </c>
      <c r="E111" s="77" t="s">
        <v>656</v>
      </c>
      <c r="F111" s="77" t="s">
        <v>30</v>
      </c>
      <c r="G111" s="7">
        <v>30</v>
      </c>
      <c r="H111" s="44">
        <v>38</v>
      </c>
      <c r="I111" s="43">
        <v>1140</v>
      </c>
      <c r="J111" s="43">
        <v>0</v>
      </c>
      <c r="K111" s="48">
        <f>(L111+M111)/$G111</f>
        <v>8.5333333333333332</v>
      </c>
      <c r="L111" s="47">
        <v>256</v>
      </c>
      <c r="M111" s="47">
        <v>0</v>
      </c>
      <c r="N111" s="46">
        <f>(O111+P111)/$G111</f>
        <v>22533.333333333332</v>
      </c>
      <c r="O111" s="50">
        <v>676000</v>
      </c>
      <c r="P111" s="50">
        <v>0</v>
      </c>
      <c r="Q111" s="7" t="s">
        <v>19</v>
      </c>
      <c r="R111" s="7"/>
      <c r="S111" s="8" t="s">
        <v>30</v>
      </c>
      <c r="T111" s="8" t="s">
        <v>2348</v>
      </c>
      <c r="U111" s="7" t="s">
        <v>657</v>
      </c>
      <c r="W111">
        <v>10</v>
      </c>
      <c r="X111" t="s">
        <v>2006</v>
      </c>
      <c r="Y111">
        <f t="shared" si="3"/>
        <v>221</v>
      </c>
      <c r="Z111" t="str">
        <f t="shared" si="4"/>
        <v>D-10</v>
      </c>
      <c r="AB111">
        <v>265</v>
      </c>
      <c r="AC111" t="s">
        <v>2074</v>
      </c>
    </row>
    <row r="112" spans="1:30">
      <c r="A112" s="77" t="s">
        <v>256</v>
      </c>
      <c r="B112" s="77" t="str">
        <f>Texte!$B$244</f>
        <v>Collecteurs solaires plans, eau chaude habitat collectif</v>
      </c>
      <c r="C112" s="77" t="s">
        <v>672</v>
      </c>
      <c r="D112" s="78" t="s">
        <v>659</v>
      </c>
      <c r="E112" s="77" t="s">
        <v>656</v>
      </c>
      <c r="F112" s="77" t="s">
        <v>30</v>
      </c>
      <c r="G112" s="7">
        <v>30</v>
      </c>
      <c r="H112" s="44">
        <v>23.166666666666668</v>
      </c>
      <c r="I112" s="43">
        <v>695</v>
      </c>
      <c r="J112" s="43">
        <v>0</v>
      </c>
      <c r="K112" s="48">
        <f>(L112+M112)/$G112</f>
        <v>5.166666666666667</v>
      </c>
      <c r="L112" s="47">
        <v>155</v>
      </c>
      <c r="M112" s="47">
        <v>0</v>
      </c>
      <c r="N112" s="46">
        <f>(O112+P112)/$G112</f>
        <v>13133.333333333334</v>
      </c>
      <c r="O112" s="50">
        <v>394000</v>
      </c>
      <c r="P112" s="50">
        <v>0</v>
      </c>
      <c r="Q112" s="7" t="s">
        <v>19</v>
      </c>
      <c r="R112" s="7"/>
      <c r="S112" s="8" t="s">
        <v>30</v>
      </c>
      <c r="T112" s="8" t="s">
        <v>2348</v>
      </c>
      <c r="U112" s="7" t="s">
        <v>657</v>
      </c>
      <c r="W112">
        <v>11</v>
      </c>
      <c r="X112" t="s">
        <v>2007</v>
      </c>
      <c r="Y112">
        <f t="shared" si="3"/>
        <v>222</v>
      </c>
      <c r="Z112" t="str">
        <f t="shared" si="4"/>
        <v>D-11</v>
      </c>
      <c r="AB112">
        <v>266</v>
      </c>
      <c r="AC112" t="s">
        <v>2075</v>
      </c>
    </row>
    <row r="113" spans="1:29">
      <c r="A113" s="77" t="s">
        <v>256</v>
      </c>
      <c r="B113" s="77" t="str">
        <f>Texte!$B$245</f>
        <v>Ventilation bureau (4 m3/h*m2)</v>
      </c>
      <c r="C113" s="77" t="s">
        <v>673</v>
      </c>
      <c r="D113" s="78" t="s">
        <v>659</v>
      </c>
      <c r="E113" s="77" t="s">
        <v>246</v>
      </c>
      <c r="F113" s="77" t="s">
        <v>30</v>
      </c>
      <c r="G113" s="7">
        <v>30</v>
      </c>
      <c r="H113" s="44">
        <v>3.7147999999999999</v>
      </c>
      <c r="I113" s="44">
        <v>111</v>
      </c>
      <c r="J113" s="44">
        <v>0.44400000000000001</v>
      </c>
      <c r="K113" s="48">
        <f>(L113+M113)/$G113</f>
        <v>0.86543333333333339</v>
      </c>
      <c r="L113" s="48">
        <v>25.2</v>
      </c>
      <c r="M113" s="48">
        <v>0.76300000000000001</v>
      </c>
      <c r="N113" s="46">
        <f>(O113+P113)/$G113</f>
        <v>2159.6</v>
      </c>
      <c r="O113" s="46">
        <v>64300</v>
      </c>
      <c r="P113" s="46">
        <v>488</v>
      </c>
      <c r="Q113" s="7" t="s">
        <v>19</v>
      </c>
      <c r="R113" s="7" t="s">
        <v>268</v>
      </c>
      <c r="S113" s="8" t="s">
        <v>30</v>
      </c>
      <c r="T113" s="8" t="s">
        <v>2344</v>
      </c>
      <c r="U113" s="7" t="s">
        <v>657</v>
      </c>
      <c r="W113">
        <v>12</v>
      </c>
      <c r="X113" t="s">
        <v>2008</v>
      </c>
      <c r="Y113">
        <f t="shared" si="3"/>
        <v>223</v>
      </c>
      <c r="Z113" t="str">
        <f t="shared" si="4"/>
        <v>D-12</v>
      </c>
      <c r="AB113">
        <v>267</v>
      </c>
      <c r="AC113" t="s">
        <v>2076</v>
      </c>
    </row>
    <row r="114" spans="1:29">
      <c r="A114" s="75" t="s">
        <v>256</v>
      </c>
      <c r="B114" s="77" t="str">
        <f>Texte!$B$324</f>
        <v>Système de ventilation pour immeubles de bureaux (SIA 2032)</v>
      </c>
      <c r="C114" s="75"/>
      <c r="D114" s="75"/>
      <c r="E114" s="75" t="s">
        <v>246</v>
      </c>
      <c r="F114" s="75" t="s">
        <v>30</v>
      </c>
      <c r="G114" s="8">
        <v>30</v>
      </c>
      <c r="H114" s="44">
        <v>3.08385</v>
      </c>
      <c r="I114" s="44">
        <v>92.15</v>
      </c>
      <c r="J114" s="44">
        <v>0.36549999999999999</v>
      </c>
      <c r="K114" s="48">
        <v>0.7174666666666667</v>
      </c>
      <c r="L114" s="53">
        <v>20.9</v>
      </c>
      <c r="M114" s="53">
        <v>0.624</v>
      </c>
      <c r="N114" s="50">
        <v>1791.6499999999999</v>
      </c>
      <c r="O114" s="50">
        <v>53350</v>
      </c>
      <c r="P114" s="55">
        <v>399.5</v>
      </c>
      <c r="Q114" s="8" t="s">
        <v>19</v>
      </c>
      <c r="R114" s="7" t="s">
        <v>268</v>
      </c>
      <c r="S114" s="8" t="s">
        <v>30</v>
      </c>
      <c r="T114" s="8" t="s">
        <v>2344</v>
      </c>
      <c r="U114" s="7" t="s">
        <v>761</v>
      </c>
      <c r="W114">
        <v>13</v>
      </c>
      <c r="X114" t="s">
        <v>2009</v>
      </c>
      <c r="Y114">
        <f t="shared" si="3"/>
        <v>302</v>
      </c>
      <c r="Z114" t="str">
        <f t="shared" si="4"/>
        <v>D-13</v>
      </c>
      <c r="AB114">
        <v>268</v>
      </c>
      <c r="AC114" s="72" t="s">
        <v>2077</v>
      </c>
    </row>
    <row r="115" spans="1:29">
      <c r="A115" s="77" t="s">
        <v>256</v>
      </c>
      <c r="B115" s="77" t="str">
        <f>Texte!$B$246</f>
        <v>Ventilation école, réunion (8 m3/h*m2)</v>
      </c>
      <c r="C115" s="77" t="s">
        <v>675</v>
      </c>
      <c r="D115" s="78" t="s">
        <v>659</v>
      </c>
      <c r="E115" s="77" t="s">
        <v>246</v>
      </c>
      <c r="F115" s="77" t="s">
        <v>30</v>
      </c>
      <c r="G115" s="7">
        <v>30</v>
      </c>
      <c r="H115" s="44">
        <v>6.2586000000000004</v>
      </c>
      <c r="I115" s="44">
        <v>187</v>
      </c>
      <c r="J115" s="44">
        <v>0.75800000000000001</v>
      </c>
      <c r="K115" s="48">
        <f>(L115+M115)/$G115</f>
        <v>1.454</v>
      </c>
      <c r="L115" s="48">
        <v>42.3</v>
      </c>
      <c r="M115" s="48">
        <v>1.32</v>
      </c>
      <c r="N115" s="46">
        <f>(O115+P115)/$G115</f>
        <v>3628.1</v>
      </c>
      <c r="O115" s="46">
        <v>108000</v>
      </c>
      <c r="P115" s="46">
        <v>843</v>
      </c>
      <c r="Q115" s="7" t="s">
        <v>19</v>
      </c>
      <c r="R115" s="7" t="s">
        <v>268</v>
      </c>
      <c r="S115" s="8" t="s">
        <v>30</v>
      </c>
      <c r="T115" s="8" t="s">
        <v>2344</v>
      </c>
      <c r="U115" s="7" t="s">
        <v>657</v>
      </c>
      <c r="W115">
        <v>14</v>
      </c>
      <c r="X115" t="s">
        <v>2010</v>
      </c>
      <c r="Y115">
        <f t="shared" si="3"/>
        <v>224</v>
      </c>
      <c r="Z115" t="str">
        <f t="shared" si="4"/>
        <v>D-14</v>
      </c>
      <c r="AB115">
        <v>269</v>
      </c>
      <c r="AC115" s="72" t="s">
        <v>2078</v>
      </c>
    </row>
    <row r="116" spans="1:29">
      <c r="A116" s="75" t="s">
        <v>256</v>
      </c>
      <c r="B116" s="77" t="str">
        <f>Texte!$B$323</f>
        <v>Système de ventilation pour immeubles résidentiels (SIA 2032)</v>
      </c>
      <c r="C116" s="75"/>
      <c r="D116" s="75"/>
      <c r="E116" s="75" t="s">
        <v>246</v>
      </c>
      <c r="F116" s="75" t="s">
        <v>30</v>
      </c>
      <c r="G116" s="8">
        <v>30</v>
      </c>
      <c r="H116" s="44">
        <v>1.8169333333333331</v>
      </c>
      <c r="I116" s="44">
        <v>54.3</v>
      </c>
      <c r="J116" s="44">
        <v>0.20799999999999999</v>
      </c>
      <c r="K116" s="48">
        <v>0.42150000000000004</v>
      </c>
      <c r="L116" s="53">
        <v>12.3</v>
      </c>
      <c r="M116" s="53">
        <v>0.34499999999999997</v>
      </c>
      <c r="N116" s="50">
        <v>1054.0666666666668</v>
      </c>
      <c r="O116" s="50">
        <v>31400</v>
      </c>
      <c r="P116" s="55">
        <v>222</v>
      </c>
      <c r="Q116" s="8" t="s">
        <v>19</v>
      </c>
      <c r="R116" s="7" t="s">
        <v>268</v>
      </c>
      <c r="S116" s="8" t="s">
        <v>30</v>
      </c>
      <c r="T116" s="8" t="s">
        <v>2344</v>
      </c>
      <c r="U116" s="7" t="s">
        <v>761</v>
      </c>
      <c r="W116">
        <v>15</v>
      </c>
      <c r="X116" t="s">
        <v>2011</v>
      </c>
      <c r="Y116">
        <f t="shared" si="3"/>
        <v>301</v>
      </c>
      <c r="Z116" t="str">
        <f t="shared" si="4"/>
        <v>D-15</v>
      </c>
      <c r="AB116">
        <v>270</v>
      </c>
      <c r="AC116" t="s">
        <v>2085</v>
      </c>
    </row>
    <row r="117" spans="1:29">
      <c r="A117" s="77" t="s">
        <v>256</v>
      </c>
      <c r="B117" s="77" t="str">
        <f>Texte!$B$247</f>
        <v>Ventilation habitation, canaux en tôle, évacuation d'air cuisine inclue</v>
      </c>
      <c r="C117" s="77" t="s">
        <v>676</v>
      </c>
      <c r="D117" s="78" t="s">
        <v>659</v>
      </c>
      <c r="E117" s="77" t="s">
        <v>246</v>
      </c>
      <c r="F117" s="77" t="s">
        <v>30</v>
      </c>
      <c r="G117" s="7">
        <v>30</v>
      </c>
      <c r="H117" s="44">
        <v>1.7761033333333336</v>
      </c>
      <c r="I117" s="44">
        <v>53.2</v>
      </c>
      <c r="J117" s="44">
        <v>8.3099999999999993E-2</v>
      </c>
      <c r="K117" s="48">
        <f>(L117+M117)/$G117</f>
        <v>0.39996666666666664</v>
      </c>
      <c r="L117" s="48">
        <v>11.7</v>
      </c>
      <c r="M117" s="48">
        <v>0.29899999999999999</v>
      </c>
      <c r="N117" s="46">
        <f>(O117+P117)/$G117</f>
        <v>1506.0666666666666</v>
      </c>
      <c r="O117" s="46">
        <v>45000</v>
      </c>
      <c r="P117" s="46">
        <v>182</v>
      </c>
      <c r="Q117" s="7" t="s">
        <v>19</v>
      </c>
      <c r="R117" s="7" t="s">
        <v>268</v>
      </c>
      <c r="S117" s="8" t="s">
        <v>30</v>
      </c>
      <c r="T117" s="8" t="s">
        <v>2344</v>
      </c>
      <c r="U117" s="7" t="s">
        <v>657</v>
      </c>
      <c r="W117">
        <v>16</v>
      </c>
      <c r="X117" t="s">
        <v>2012</v>
      </c>
      <c r="Y117">
        <f t="shared" si="3"/>
        <v>225</v>
      </c>
      <c r="Z117" t="str">
        <f t="shared" si="4"/>
        <v>D-16</v>
      </c>
      <c r="AB117">
        <v>271</v>
      </c>
      <c r="AC117" t="s">
        <v>2086</v>
      </c>
    </row>
    <row r="118" spans="1:29">
      <c r="A118" s="77" t="s">
        <v>256</v>
      </c>
      <c r="B118" s="77" t="str">
        <f>Texte!$B$248</f>
        <v xml:space="preserve">Ventilation habitation, canaux en PE, évacuation d'air cuisine inclue </v>
      </c>
      <c r="C118" s="77" t="s">
        <v>677</v>
      </c>
      <c r="D118" s="78" t="s">
        <v>659</v>
      </c>
      <c r="E118" s="77" t="s">
        <v>246</v>
      </c>
      <c r="F118" s="77" t="s">
        <v>30</v>
      </c>
      <c r="G118" s="7">
        <v>30</v>
      </c>
      <c r="H118" s="44">
        <v>1.0891433333333334</v>
      </c>
      <c r="I118" s="44">
        <v>32.6</v>
      </c>
      <c r="J118" s="44">
        <v>7.4300000000000005E-2</v>
      </c>
      <c r="K118" s="48">
        <f>(L118+M118)/$G118</f>
        <v>0.24413333333333334</v>
      </c>
      <c r="L118" s="48">
        <v>6.6</v>
      </c>
      <c r="M118" s="48">
        <v>0.72399999999999998</v>
      </c>
      <c r="N118" s="46">
        <f>(O118+P118)/$G118</f>
        <v>732.36666666666667</v>
      </c>
      <c r="O118" s="46">
        <v>21600</v>
      </c>
      <c r="P118" s="46">
        <v>371</v>
      </c>
      <c r="Q118" s="7" t="s">
        <v>19</v>
      </c>
      <c r="R118" s="7" t="s">
        <v>268</v>
      </c>
      <c r="S118" s="8" t="s">
        <v>30</v>
      </c>
      <c r="T118" s="8" t="s">
        <v>2344</v>
      </c>
      <c r="U118" s="7" t="s">
        <v>657</v>
      </c>
      <c r="W118">
        <v>17</v>
      </c>
      <c r="X118" t="s">
        <v>2013</v>
      </c>
      <c r="Y118">
        <f t="shared" si="3"/>
        <v>226</v>
      </c>
      <c r="Z118" t="str">
        <f t="shared" si="4"/>
        <v>D-17</v>
      </c>
      <c r="AB118">
        <v>272</v>
      </c>
      <c r="AC118" t="s">
        <v>2087</v>
      </c>
    </row>
    <row r="119" spans="1:29">
      <c r="A119" s="77" t="s">
        <v>256</v>
      </c>
      <c r="B119" s="77" t="str">
        <f>Texte!$B$249</f>
        <v>Ventilation bureau, besoins en air 6 m3/hm2 SRE</v>
      </c>
      <c r="C119" s="77" t="s">
        <v>674</v>
      </c>
      <c r="D119" s="78" t="s">
        <v>659</v>
      </c>
      <c r="E119" s="77" t="s">
        <v>246</v>
      </c>
      <c r="F119" s="77" t="s">
        <v>30</v>
      </c>
      <c r="G119" s="7">
        <v>30</v>
      </c>
      <c r="H119" s="44">
        <v>4.9866999999999999</v>
      </c>
      <c r="I119" s="44">
        <v>149</v>
      </c>
      <c r="J119" s="44">
        <v>0.60099999999999998</v>
      </c>
      <c r="K119" s="48">
        <f>(L119+M119)/$G119</f>
        <v>1.1580000000000001</v>
      </c>
      <c r="L119" s="48">
        <v>33.700000000000003</v>
      </c>
      <c r="M119" s="48">
        <v>1.04</v>
      </c>
      <c r="N119" s="46">
        <f>(O119+P119)/$G119</f>
        <v>2895.5333333333333</v>
      </c>
      <c r="O119" s="46">
        <v>86200</v>
      </c>
      <c r="P119" s="46">
        <v>666</v>
      </c>
      <c r="Q119" s="7" t="s">
        <v>19</v>
      </c>
      <c r="R119" s="7" t="s">
        <v>268</v>
      </c>
      <c r="S119" s="8" t="s">
        <v>30</v>
      </c>
      <c r="T119" s="8" t="s">
        <v>2344</v>
      </c>
      <c r="U119" s="7" t="s">
        <v>657</v>
      </c>
      <c r="W119">
        <v>18</v>
      </c>
      <c r="X119" t="s">
        <v>2014</v>
      </c>
      <c r="Y119">
        <f t="shared" si="3"/>
        <v>227</v>
      </c>
      <c r="Z119" t="str">
        <f t="shared" si="4"/>
        <v>D-18</v>
      </c>
      <c r="AB119">
        <v>273</v>
      </c>
      <c r="AC119" t="s">
        <v>2083</v>
      </c>
    </row>
    <row r="120" spans="1:29">
      <c r="A120" s="75" t="s">
        <v>256</v>
      </c>
      <c r="B120" s="77" t="str">
        <f>Texte!$B$326</f>
        <v>Installations sanitaires pour immeubles de bureaux (SIA 2032)</v>
      </c>
      <c r="C120" s="75"/>
      <c r="D120" s="75"/>
      <c r="E120" s="75" t="s">
        <v>246</v>
      </c>
      <c r="F120" s="75" t="s">
        <v>30</v>
      </c>
      <c r="G120" s="8">
        <v>30</v>
      </c>
      <c r="H120" s="44">
        <v>1.1035833333333334</v>
      </c>
      <c r="I120" s="44">
        <v>32.799999999999997</v>
      </c>
      <c r="J120" s="44">
        <v>0.3075</v>
      </c>
      <c r="K120" s="48">
        <v>0.27150000000000002</v>
      </c>
      <c r="L120" s="53">
        <v>5.69</v>
      </c>
      <c r="M120" s="53">
        <v>2.4550000000000001</v>
      </c>
      <c r="N120" s="50">
        <v>427.11666666666667</v>
      </c>
      <c r="O120" s="50">
        <v>11545</v>
      </c>
      <c r="P120" s="55">
        <v>1268.5</v>
      </c>
      <c r="Q120" s="8" t="s">
        <v>19</v>
      </c>
      <c r="R120" s="7" t="s">
        <v>268</v>
      </c>
      <c r="S120" s="8" t="s">
        <v>30</v>
      </c>
      <c r="T120" s="8" t="s">
        <v>2346</v>
      </c>
      <c r="U120" s="7" t="s">
        <v>761</v>
      </c>
      <c r="W120">
        <v>19</v>
      </c>
      <c r="X120" t="s">
        <v>2015</v>
      </c>
      <c r="Y120">
        <f t="shared" si="3"/>
        <v>304</v>
      </c>
      <c r="Z120" t="str">
        <f t="shared" si="4"/>
        <v>D-19</v>
      </c>
      <c r="AB120">
        <v>274</v>
      </c>
      <c r="AC120" t="s">
        <v>2084</v>
      </c>
    </row>
    <row r="121" spans="1:29">
      <c r="A121" s="75" t="s">
        <v>256</v>
      </c>
      <c r="B121" s="77" t="str">
        <f>Texte!$B$325</f>
        <v>Installations sanitaires pour immeubles résidentiels (SIA 2032)</v>
      </c>
      <c r="C121" s="75"/>
      <c r="D121" s="75"/>
      <c r="E121" s="75" t="s">
        <v>246</v>
      </c>
      <c r="F121" s="75" t="s">
        <v>30</v>
      </c>
      <c r="G121" s="8">
        <v>30</v>
      </c>
      <c r="H121" s="44">
        <v>1.6179000000000001</v>
      </c>
      <c r="I121" s="44">
        <v>48.2</v>
      </c>
      <c r="J121" s="44">
        <v>0.33700000000000002</v>
      </c>
      <c r="K121" s="48">
        <v>0.37866666666666671</v>
      </c>
      <c r="L121" s="53">
        <v>9.81</v>
      </c>
      <c r="M121" s="53">
        <v>1.55</v>
      </c>
      <c r="N121" s="50">
        <v>801.1</v>
      </c>
      <c r="O121" s="50">
        <v>23200</v>
      </c>
      <c r="P121" s="55">
        <v>833</v>
      </c>
      <c r="Q121" s="8" t="s">
        <v>19</v>
      </c>
      <c r="R121" s="7" t="s">
        <v>268</v>
      </c>
      <c r="S121" s="8" t="s">
        <v>30</v>
      </c>
      <c r="T121" s="8" t="s">
        <v>2346</v>
      </c>
      <c r="U121" s="7" t="s">
        <v>761</v>
      </c>
      <c r="W121">
        <v>20</v>
      </c>
      <c r="X121" t="s">
        <v>2016</v>
      </c>
      <c r="Y121">
        <f t="shared" si="3"/>
        <v>303</v>
      </c>
      <c r="Z121" t="str">
        <f t="shared" si="4"/>
        <v>D-20</v>
      </c>
      <c r="AB121">
        <v>275</v>
      </c>
      <c r="AC121" t="s">
        <v>2088</v>
      </c>
    </row>
    <row r="122" spans="1:29">
      <c r="A122" s="77" t="s">
        <v>256</v>
      </c>
      <c r="B122" s="77" t="str">
        <f>Texte!$B$250</f>
        <v>Installations sanitaires, bureau, degré de complexité élevé, appareils et conduites compris</v>
      </c>
      <c r="C122" s="77" t="s">
        <v>680</v>
      </c>
      <c r="D122" s="78" t="s">
        <v>659</v>
      </c>
      <c r="E122" s="77" t="s">
        <v>246</v>
      </c>
      <c r="F122" s="77" t="s">
        <v>30</v>
      </c>
      <c r="G122" s="7">
        <v>30</v>
      </c>
      <c r="H122" s="44">
        <v>1.5559333333333334</v>
      </c>
      <c r="I122" s="44">
        <v>46.2</v>
      </c>
      <c r="J122" s="44">
        <v>0.47799999999999998</v>
      </c>
      <c r="K122" s="48">
        <f>(L122+M122)/$G122</f>
        <v>0.39366666666666666</v>
      </c>
      <c r="L122" s="48">
        <v>8.0500000000000007</v>
      </c>
      <c r="M122" s="48">
        <v>3.76</v>
      </c>
      <c r="N122" s="46">
        <f>(O122+P122)/$G122</f>
        <v>621.66666666666663</v>
      </c>
      <c r="O122" s="46">
        <v>16700</v>
      </c>
      <c r="P122" s="46">
        <v>1950</v>
      </c>
      <c r="Q122" s="7" t="s">
        <v>19</v>
      </c>
      <c r="R122" s="7" t="s">
        <v>268</v>
      </c>
      <c r="S122" s="8" t="s">
        <v>30</v>
      </c>
      <c r="T122" s="8" t="s">
        <v>2346</v>
      </c>
      <c r="U122" s="7" t="s">
        <v>657</v>
      </c>
      <c r="W122">
        <v>21</v>
      </c>
      <c r="X122" t="s">
        <v>2017</v>
      </c>
      <c r="Y122">
        <f t="shared" si="3"/>
        <v>228</v>
      </c>
      <c r="Z122" t="str">
        <f t="shared" si="4"/>
        <v>D-21</v>
      </c>
      <c r="AB122">
        <v>276</v>
      </c>
      <c r="AC122" t="s">
        <v>2191</v>
      </c>
    </row>
    <row r="123" spans="1:29">
      <c r="A123" s="77" t="s">
        <v>256</v>
      </c>
      <c r="B123" s="77" t="str">
        <f>Texte!$B$251</f>
        <v>Installations sanitaires, bureau, degré de complexité faible, appareils et conduites compris</v>
      </c>
      <c r="C123" s="77" t="s">
        <v>679</v>
      </c>
      <c r="D123" s="78" t="s">
        <v>659</v>
      </c>
      <c r="E123" s="77" t="s">
        <v>246</v>
      </c>
      <c r="F123" s="77" t="s">
        <v>30</v>
      </c>
      <c r="G123" s="7">
        <v>30</v>
      </c>
      <c r="H123" s="44">
        <v>0.65123333333333333</v>
      </c>
      <c r="I123" s="44">
        <v>19.399999999999999</v>
      </c>
      <c r="J123" s="44">
        <v>0.13700000000000001</v>
      </c>
      <c r="K123" s="48">
        <f>(L123+M123)/$G123</f>
        <v>0.14933333333333335</v>
      </c>
      <c r="L123" s="48">
        <v>3.33</v>
      </c>
      <c r="M123" s="48">
        <v>1.1499999999999999</v>
      </c>
      <c r="N123" s="46">
        <f>(O123+P123)/$G123</f>
        <v>232.56666666666666</v>
      </c>
      <c r="O123" s="46">
        <v>6390</v>
      </c>
      <c r="P123" s="46">
        <v>587</v>
      </c>
      <c r="Q123" s="7" t="s">
        <v>19</v>
      </c>
      <c r="R123" s="7" t="s">
        <v>268</v>
      </c>
      <c r="S123" s="8" t="s">
        <v>30</v>
      </c>
      <c r="T123" s="8" t="s">
        <v>2346</v>
      </c>
      <c r="U123" s="7" t="s">
        <v>657</v>
      </c>
      <c r="W123">
        <v>22</v>
      </c>
      <c r="X123" t="s">
        <v>2018</v>
      </c>
      <c r="Y123">
        <f t="shared" si="3"/>
        <v>229</v>
      </c>
      <c r="Z123" t="str">
        <f t="shared" si="4"/>
        <v>D-22</v>
      </c>
      <c r="AB123">
        <v>277</v>
      </c>
      <c r="AC123" t="s">
        <v>2129</v>
      </c>
    </row>
    <row r="124" spans="1:29">
      <c r="A124" s="77" t="s">
        <v>256</v>
      </c>
      <c r="B124" s="77" t="str">
        <f>Texte!$B$252</f>
        <v>Installations sanitaires, habitations, appareils et conduites compris</v>
      </c>
      <c r="C124" s="77" t="s">
        <v>681</v>
      </c>
      <c r="D124" s="78" t="s">
        <v>659</v>
      </c>
      <c r="E124" s="77" t="s">
        <v>246</v>
      </c>
      <c r="F124" s="77" t="s">
        <v>30</v>
      </c>
      <c r="G124" s="7">
        <v>30</v>
      </c>
      <c r="H124" s="44">
        <v>1.6179000000000001</v>
      </c>
      <c r="I124" s="44">
        <v>48.2</v>
      </c>
      <c r="J124" s="44">
        <v>0.33700000000000002</v>
      </c>
      <c r="K124" s="48">
        <f>(L124+M124)/$G124</f>
        <v>0.37866666666666671</v>
      </c>
      <c r="L124" s="48">
        <v>9.81</v>
      </c>
      <c r="M124" s="48">
        <v>1.55</v>
      </c>
      <c r="N124" s="46">
        <f>(O124+P124)/$G124</f>
        <v>801.1</v>
      </c>
      <c r="O124" s="46">
        <v>23200</v>
      </c>
      <c r="P124" s="46">
        <v>833</v>
      </c>
      <c r="Q124" s="7" t="s">
        <v>19</v>
      </c>
      <c r="R124" s="7" t="s">
        <v>268</v>
      </c>
      <c r="S124" s="8" t="s">
        <v>30</v>
      </c>
      <c r="T124" s="8" t="s">
        <v>2346</v>
      </c>
      <c r="U124" s="7" t="s">
        <v>657</v>
      </c>
      <c r="W124">
        <v>23</v>
      </c>
      <c r="X124" t="s">
        <v>2019</v>
      </c>
      <c r="Y124">
        <f t="shared" si="3"/>
        <v>230</v>
      </c>
      <c r="Z124" t="str">
        <f t="shared" si="4"/>
        <v>D-23</v>
      </c>
      <c r="AB124">
        <v>278</v>
      </c>
      <c r="AC124" t="s">
        <v>2130</v>
      </c>
    </row>
    <row r="125" spans="1:29">
      <c r="A125" s="75" t="s">
        <v>256</v>
      </c>
      <c r="B125" s="77" t="str">
        <f>Texte!$B$321</f>
        <v>Capteurs solaires (SIA 2032)</v>
      </c>
      <c r="C125" s="75"/>
      <c r="D125" s="75"/>
      <c r="E125" s="75" t="s">
        <v>246</v>
      </c>
      <c r="F125" s="75" t="s">
        <v>30</v>
      </c>
      <c r="G125" s="8">
        <v>30</v>
      </c>
      <c r="H125" s="44">
        <v>23.166666666666668</v>
      </c>
      <c r="I125" s="44">
        <v>695</v>
      </c>
      <c r="J125" s="44">
        <v>0</v>
      </c>
      <c r="K125" s="48">
        <v>5.166666666666667</v>
      </c>
      <c r="L125" s="53">
        <v>155</v>
      </c>
      <c r="M125" s="53">
        <v>0</v>
      </c>
      <c r="N125" s="50">
        <v>13133.333333333334</v>
      </c>
      <c r="O125" s="50">
        <v>394000</v>
      </c>
      <c r="P125" s="55">
        <v>0</v>
      </c>
      <c r="Q125" s="8" t="s">
        <v>19</v>
      </c>
      <c r="R125" s="7"/>
      <c r="S125" s="8" t="s">
        <v>30</v>
      </c>
      <c r="T125" s="8" t="s">
        <v>2348</v>
      </c>
      <c r="U125" s="7" t="s">
        <v>761</v>
      </c>
      <c r="W125">
        <v>24</v>
      </c>
      <c r="X125" t="s">
        <v>2020</v>
      </c>
      <c r="Y125">
        <f t="shared" si="3"/>
        <v>299</v>
      </c>
      <c r="Z125" t="str">
        <f t="shared" si="4"/>
        <v>D-24</v>
      </c>
      <c r="AB125">
        <v>279</v>
      </c>
      <c r="AC125" t="s">
        <v>2143</v>
      </c>
    </row>
    <row r="126" spans="1:29">
      <c r="A126" s="75" t="s">
        <v>256</v>
      </c>
      <c r="B126" s="77" t="str">
        <f>Texte!$B$316</f>
        <v>Installation solaire (1 m2 = 0,14 kWp) (SIA 2032)</v>
      </c>
      <c r="C126" s="75"/>
      <c r="D126" s="75"/>
      <c r="E126" s="75" t="s">
        <v>246</v>
      </c>
      <c r="F126" s="75" t="s">
        <v>30</v>
      </c>
      <c r="G126" s="8">
        <v>30</v>
      </c>
      <c r="H126" s="44">
        <v>267.33333333333331</v>
      </c>
      <c r="I126" s="44">
        <v>8020</v>
      </c>
      <c r="J126" s="44">
        <v>0</v>
      </c>
      <c r="K126" s="48">
        <v>77.333333333333329</v>
      </c>
      <c r="L126" s="53">
        <v>2320</v>
      </c>
      <c r="M126" s="53">
        <v>0</v>
      </c>
      <c r="N126" s="50">
        <v>102333.33333333333</v>
      </c>
      <c r="O126" s="50">
        <v>3070000</v>
      </c>
      <c r="P126" s="55">
        <v>0</v>
      </c>
      <c r="Q126" s="8" t="s">
        <v>19</v>
      </c>
      <c r="R126" s="7"/>
      <c r="S126" s="8" t="s">
        <v>30</v>
      </c>
      <c r="T126" s="8" t="s">
        <v>2349</v>
      </c>
      <c r="U126" s="7" t="s">
        <v>761</v>
      </c>
      <c r="W126">
        <v>25</v>
      </c>
      <c r="X126" t="s">
        <v>2021</v>
      </c>
      <c r="Y126">
        <f t="shared" si="3"/>
        <v>294</v>
      </c>
      <c r="Z126" t="str">
        <f t="shared" si="4"/>
        <v>D-25</v>
      </c>
      <c r="AB126">
        <v>280</v>
      </c>
      <c r="AC126" t="s">
        <v>2140</v>
      </c>
    </row>
    <row r="127" spans="1:29">
      <c r="A127" s="77" t="s">
        <v>256</v>
      </c>
      <c r="B127" s="77" t="str">
        <f>Texte!$B$253</f>
        <v>Installation photovoltaïque façade</v>
      </c>
      <c r="C127" s="79" t="s">
        <v>686</v>
      </c>
      <c r="D127" s="78" t="s">
        <v>659</v>
      </c>
      <c r="E127" s="77" t="s">
        <v>658</v>
      </c>
      <c r="F127" s="77" t="s">
        <v>247</v>
      </c>
      <c r="G127" s="7">
        <v>30</v>
      </c>
      <c r="H127" s="44">
        <v>248.66666666666666</v>
      </c>
      <c r="I127" s="44">
        <v>7460</v>
      </c>
      <c r="J127" s="45">
        <v>0</v>
      </c>
      <c r="K127" s="48">
        <f t="shared" ref="K127:K135" si="5">(L127+M127)/$G127</f>
        <v>71.333333333333329</v>
      </c>
      <c r="L127" s="48">
        <v>2140</v>
      </c>
      <c r="M127" s="49">
        <v>0</v>
      </c>
      <c r="N127" s="46">
        <f t="shared" ref="N127:N135" si="6">(O127+P127)/$G127</f>
        <v>105666.66666666667</v>
      </c>
      <c r="O127" s="46">
        <v>3170000</v>
      </c>
      <c r="P127" s="51">
        <v>0</v>
      </c>
      <c r="Q127" s="7" t="s">
        <v>19</v>
      </c>
      <c r="R127" s="7"/>
      <c r="S127" s="8" t="s">
        <v>30</v>
      </c>
      <c r="T127" s="8" t="s">
        <v>2349</v>
      </c>
      <c r="U127" s="7" t="s">
        <v>657</v>
      </c>
      <c r="W127">
        <v>26</v>
      </c>
      <c r="X127" t="s">
        <v>2022</v>
      </c>
      <c r="Y127">
        <f t="shared" si="3"/>
        <v>231</v>
      </c>
      <c r="Z127" t="str">
        <f t="shared" si="4"/>
        <v>D-26</v>
      </c>
      <c r="AB127">
        <v>281</v>
      </c>
      <c r="AC127" t="s">
        <v>2141</v>
      </c>
    </row>
    <row r="128" spans="1:29">
      <c r="A128" s="77" t="s">
        <v>256</v>
      </c>
      <c r="B128" s="77" t="str">
        <f>Texte!$B$254</f>
        <v>Installation photovoltaïque toiture plate</v>
      </c>
      <c r="C128" s="79" t="s">
        <v>685</v>
      </c>
      <c r="D128" s="78" t="s">
        <v>659</v>
      </c>
      <c r="E128" s="77" t="s">
        <v>658</v>
      </c>
      <c r="F128" s="77" t="s">
        <v>247</v>
      </c>
      <c r="G128" s="7">
        <v>30</v>
      </c>
      <c r="H128" s="44">
        <v>267.33333333333331</v>
      </c>
      <c r="I128" s="44">
        <v>8020</v>
      </c>
      <c r="J128" s="45">
        <v>0</v>
      </c>
      <c r="K128" s="48">
        <f t="shared" si="5"/>
        <v>77.333333333333329</v>
      </c>
      <c r="L128" s="48">
        <v>2320</v>
      </c>
      <c r="M128" s="49">
        <v>0</v>
      </c>
      <c r="N128" s="46">
        <f t="shared" si="6"/>
        <v>102333.33333333333</v>
      </c>
      <c r="O128" s="46">
        <v>3070000</v>
      </c>
      <c r="P128" s="51">
        <v>0</v>
      </c>
      <c r="Q128" s="7" t="s">
        <v>19</v>
      </c>
      <c r="R128" s="7"/>
      <c r="S128" s="8" t="s">
        <v>30</v>
      </c>
      <c r="T128" s="8" t="s">
        <v>2349</v>
      </c>
      <c r="U128" s="7" t="s">
        <v>657</v>
      </c>
      <c r="W128">
        <v>27</v>
      </c>
      <c r="X128" t="s">
        <v>2023</v>
      </c>
      <c r="Y128">
        <f t="shared" si="3"/>
        <v>232</v>
      </c>
      <c r="Z128" t="str">
        <f t="shared" si="4"/>
        <v>D-27</v>
      </c>
      <c r="AB128">
        <v>282</v>
      </c>
      <c r="AC128" t="s">
        <v>2100</v>
      </c>
    </row>
    <row r="129" spans="1:29">
      <c r="A129" s="77" t="s">
        <v>256</v>
      </c>
      <c r="B129" s="77" t="str">
        <f>Texte!$B$255</f>
        <v>Installation photovoltaïque toiture inclinée</v>
      </c>
      <c r="C129" s="79" t="s">
        <v>684</v>
      </c>
      <c r="D129" s="78" t="s">
        <v>659</v>
      </c>
      <c r="E129" s="77" t="s">
        <v>658</v>
      </c>
      <c r="F129" s="77" t="s">
        <v>247</v>
      </c>
      <c r="G129" s="7">
        <v>30</v>
      </c>
      <c r="H129" s="44">
        <v>243</v>
      </c>
      <c r="I129" s="44">
        <v>7290</v>
      </c>
      <c r="J129" s="45">
        <v>0</v>
      </c>
      <c r="K129" s="48">
        <f t="shared" si="5"/>
        <v>67.666666666666671</v>
      </c>
      <c r="L129" s="48">
        <v>2030</v>
      </c>
      <c r="M129" s="49">
        <v>0</v>
      </c>
      <c r="N129" s="46">
        <f t="shared" si="6"/>
        <v>106333.33333333333</v>
      </c>
      <c r="O129" s="46">
        <v>3190000</v>
      </c>
      <c r="P129" s="51">
        <v>0</v>
      </c>
      <c r="Q129" s="7" t="s">
        <v>19</v>
      </c>
      <c r="R129" s="7"/>
      <c r="S129" s="8" t="s">
        <v>30</v>
      </c>
      <c r="T129" s="8" t="s">
        <v>2349</v>
      </c>
      <c r="U129" s="7" t="s">
        <v>657</v>
      </c>
      <c r="W129">
        <v>28</v>
      </c>
      <c r="X129" t="s">
        <v>2024</v>
      </c>
      <c r="Y129">
        <f t="shared" si="3"/>
        <v>233</v>
      </c>
      <c r="Z129" t="str">
        <f t="shared" si="4"/>
        <v>D-28</v>
      </c>
      <c r="AB129">
        <v>283</v>
      </c>
      <c r="AC129" t="s">
        <v>2099</v>
      </c>
    </row>
    <row r="130" spans="1:29">
      <c r="A130" s="77" t="s">
        <v>256</v>
      </c>
      <c r="B130" s="77" t="str">
        <f>Texte!$B$256</f>
        <v>Diffusion de chaleur par chauffage au sol</v>
      </c>
      <c r="C130" s="77" t="s">
        <v>666</v>
      </c>
      <c r="D130" s="78" t="s">
        <v>659</v>
      </c>
      <c r="E130" s="77" t="s">
        <v>246</v>
      </c>
      <c r="F130" s="77" t="s">
        <v>30</v>
      </c>
      <c r="G130" s="7">
        <v>30</v>
      </c>
      <c r="H130" s="44">
        <v>0.74305666666666659</v>
      </c>
      <c r="I130" s="43">
        <v>22.2</v>
      </c>
      <c r="J130" s="43">
        <v>9.1700000000000004E-2</v>
      </c>
      <c r="K130" s="48">
        <f t="shared" si="5"/>
        <v>0.16866666666666669</v>
      </c>
      <c r="L130" s="47">
        <v>3.02</v>
      </c>
      <c r="M130" s="47">
        <v>2.04</v>
      </c>
      <c r="N130" s="46">
        <f t="shared" si="6"/>
        <v>134.56666666666666</v>
      </c>
      <c r="O130" s="50">
        <v>3040</v>
      </c>
      <c r="P130" s="50">
        <v>997</v>
      </c>
      <c r="Q130" s="7" t="s">
        <v>19</v>
      </c>
      <c r="R130" s="7" t="s">
        <v>268</v>
      </c>
      <c r="S130" s="8" t="s">
        <v>30</v>
      </c>
      <c r="T130" s="8" t="s">
        <v>2351</v>
      </c>
      <c r="U130" s="7" t="s">
        <v>657</v>
      </c>
      <c r="W130">
        <v>29</v>
      </c>
      <c r="X130" t="s">
        <v>2025</v>
      </c>
      <c r="Y130">
        <f t="shared" si="3"/>
        <v>234</v>
      </c>
      <c r="Z130" t="str">
        <f t="shared" si="4"/>
        <v>D-29</v>
      </c>
      <c r="AB130">
        <v>284</v>
      </c>
      <c r="AC130" t="s">
        <v>2115</v>
      </c>
    </row>
    <row r="131" spans="1:29">
      <c r="A131" s="77" t="s">
        <v>256</v>
      </c>
      <c r="B131" s="77" t="str">
        <f>Texte!$B$257</f>
        <v>Diffusion de chaleur par corps de chauffe</v>
      </c>
      <c r="C131" s="77" t="s">
        <v>665</v>
      </c>
      <c r="D131" s="78" t="s">
        <v>659</v>
      </c>
      <c r="E131" s="77" t="s">
        <v>246</v>
      </c>
      <c r="F131" s="77" t="s">
        <v>30</v>
      </c>
      <c r="G131" s="7">
        <v>30</v>
      </c>
      <c r="H131" s="44">
        <v>0.75783999999999996</v>
      </c>
      <c r="I131" s="43">
        <v>22.7</v>
      </c>
      <c r="J131" s="43">
        <v>3.5200000000000002E-2</v>
      </c>
      <c r="K131" s="48">
        <f t="shared" si="5"/>
        <v>0.18209000000000003</v>
      </c>
      <c r="L131" s="47">
        <v>5.44</v>
      </c>
      <c r="M131" s="47">
        <v>2.2700000000000001E-2</v>
      </c>
      <c r="N131" s="46">
        <f t="shared" si="6"/>
        <v>340.59666666666664</v>
      </c>
      <c r="O131" s="50">
        <v>10200</v>
      </c>
      <c r="P131" s="50">
        <v>17.899999999999999</v>
      </c>
      <c r="Q131" s="7" t="s">
        <v>19</v>
      </c>
      <c r="R131" s="7" t="s">
        <v>268</v>
      </c>
      <c r="S131" s="8" t="s">
        <v>30</v>
      </c>
      <c r="T131" s="8" t="s">
        <v>2351</v>
      </c>
      <c r="U131" s="7" t="s">
        <v>657</v>
      </c>
      <c r="W131">
        <v>30</v>
      </c>
      <c r="X131" t="s">
        <v>2026</v>
      </c>
      <c r="Y131">
        <f t="shared" si="3"/>
        <v>235</v>
      </c>
      <c r="Z131" t="str">
        <f t="shared" si="4"/>
        <v>D-30</v>
      </c>
      <c r="AB131">
        <v>285</v>
      </c>
      <c r="AC131" t="s">
        <v>2122</v>
      </c>
    </row>
    <row r="132" spans="1:29">
      <c r="A132" s="77" t="s">
        <v>256</v>
      </c>
      <c r="B132" s="77" t="str">
        <f>Texte!$B$258</f>
        <v>Diffusion de chaleur par système de chauffage et refroidissement au plafond (pas de faux-plafond en plâtre ou en métal)</v>
      </c>
      <c r="C132" s="77" t="s">
        <v>667</v>
      </c>
      <c r="D132" s="78" t="s">
        <v>659</v>
      </c>
      <c r="E132" s="77" t="s">
        <v>246</v>
      </c>
      <c r="F132" s="77" t="s">
        <v>30</v>
      </c>
      <c r="G132" s="7">
        <v>30</v>
      </c>
      <c r="H132" s="44">
        <v>0.87768666666666673</v>
      </c>
      <c r="I132" s="43">
        <v>26.3</v>
      </c>
      <c r="J132" s="43">
        <v>3.0599999999999999E-2</v>
      </c>
      <c r="K132" s="48">
        <f t="shared" si="5"/>
        <v>0.19246666666666667</v>
      </c>
      <c r="L132" s="47">
        <v>5.64</v>
      </c>
      <c r="M132" s="47">
        <v>0.13400000000000001</v>
      </c>
      <c r="N132" s="46">
        <f t="shared" si="6"/>
        <v>1315.68</v>
      </c>
      <c r="O132" s="50">
        <v>39400</v>
      </c>
      <c r="P132" s="50">
        <v>70.400000000000006</v>
      </c>
      <c r="Q132" s="7" t="s">
        <v>19</v>
      </c>
      <c r="R132" s="7" t="s">
        <v>268</v>
      </c>
      <c r="S132" s="8" t="s">
        <v>30</v>
      </c>
      <c r="T132" s="8" t="s">
        <v>2351</v>
      </c>
      <c r="U132" s="7" t="s">
        <v>657</v>
      </c>
      <c r="W132">
        <v>31</v>
      </c>
      <c r="X132" t="s">
        <v>2027</v>
      </c>
      <c r="Y132">
        <f t="shared" si="3"/>
        <v>236</v>
      </c>
      <c r="Z132" t="str">
        <f t="shared" si="4"/>
        <v>D-31</v>
      </c>
      <c r="AB132">
        <v>286</v>
      </c>
      <c r="AC132" t="s">
        <v>2120</v>
      </c>
    </row>
    <row r="133" spans="1:29">
      <c r="A133" s="77" t="s">
        <v>256</v>
      </c>
      <c r="B133" s="77" t="str">
        <f>Texte!$B$259</f>
        <v>Production de chaleur, besoins en puissance 10 W/m2</v>
      </c>
      <c r="C133" s="77" t="s">
        <v>660</v>
      </c>
      <c r="D133" s="78" t="s">
        <v>659</v>
      </c>
      <c r="E133" s="77" t="s">
        <v>246</v>
      </c>
      <c r="F133" s="77" t="s">
        <v>30</v>
      </c>
      <c r="G133" s="7">
        <v>20</v>
      </c>
      <c r="H133" s="44">
        <v>0.11390499999999999</v>
      </c>
      <c r="I133" s="43">
        <v>2.2599999999999998</v>
      </c>
      <c r="J133" s="43">
        <v>1.8100000000000002E-2</v>
      </c>
      <c r="K133" s="48">
        <f t="shared" si="5"/>
        <v>2.5595E-2</v>
      </c>
      <c r="L133" s="47">
        <v>0.501</v>
      </c>
      <c r="M133" s="47">
        <v>1.09E-2</v>
      </c>
      <c r="N133" s="46">
        <f t="shared" si="6"/>
        <v>60.029999999999994</v>
      </c>
      <c r="O133" s="50">
        <v>1190</v>
      </c>
      <c r="P133" s="50">
        <v>10.6</v>
      </c>
      <c r="Q133" s="7" t="s">
        <v>19</v>
      </c>
      <c r="R133" s="7" t="s">
        <v>268</v>
      </c>
      <c r="S133" s="8" t="s">
        <v>30</v>
      </c>
      <c r="T133" s="8" t="s">
        <v>2352</v>
      </c>
      <c r="U133" s="7" t="s">
        <v>657</v>
      </c>
      <c r="W133">
        <v>32</v>
      </c>
      <c r="X133" t="s">
        <v>2028</v>
      </c>
      <c r="Y133">
        <f t="shared" si="3"/>
        <v>237</v>
      </c>
      <c r="Z133" t="str">
        <f t="shared" si="4"/>
        <v>D-32</v>
      </c>
      <c r="AB133">
        <v>287</v>
      </c>
      <c r="AC133" t="s">
        <v>2194</v>
      </c>
    </row>
    <row r="134" spans="1:29">
      <c r="A134" s="77" t="s">
        <v>256</v>
      </c>
      <c r="B134" s="77" t="str">
        <f>Texte!$B$260</f>
        <v>Production de chaleur, besoins en puissance 30 W/m2</v>
      </c>
      <c r="C134" s="77" t="s">
        <v>661</v>
      </c>
      <c r="D134" s="78" t="s">
        <v>659</v>
      </c>
      <c r="E134" s="77" t="s">
        <v>246</v>
      </c>
      <c r="F134" s="77" t="s">
        <v>30</v>
      </c>
      <c r="G134" s="7">
        <v>20</v>
      </c>
      <c r="H134" s="44">
        <v>0.34172000000000002</v>
      </c>
      <c r="I134" s="43">
        <v>6.78</v>
      </c>
      <c r="J134" s="43">
        <v>5.4399999999999997E-2</v>
      </c>
      <c r="K134" s="48">
        <f t="shared" si="5"/>
        <v>7.6634999999999995E-2</v>
      </c>
      <c r="L134" s="47">
        <v>1.5</v>
      </c>
      <c r="M134" s="47">
        <v>3.27E-2</v>
      </c>
      <c r="N134" s="46">
        <f t="shared" si="6"/>
        <v>179.59</v>
      </c>
      <c r="O134" s="50">
        <v>3560</v>
      </c>
      <c r="P134" s="50">
        <v>31.8</v>
      </c>
      <c r="Q134" s="7" t="s">
        <v>19</v>
      </c>
      <c r="R134" s="7" t="s">
        <v>268</v>
      </c>
      <c r="S134" s="8" t="s">
        <v>30</v>
      </c>
      <c r="T134" s="8" t="s">
        <v>2352</v>
      </c>
      <c r="U134" s="7" t="s">
        <v>657</v>
      </c>
      <c r="W134">
        <v>33</v>
      </c>
      <c r="X134" t="s">
        <v>2029</v>
      </c>
      <c r="Y134">
        <f t="shared" si="3"/>
        <v>238</v>
      </c>
      <c r="Z134" t="str">
        <f t="shared" si="4"/>
        <v>D-33</v>
      </c>
      <c r="AB134">
        <v>288</v>
      </c>
      <c r="AC134" t="s">
        <v>2195</v>
      </c>
    </row>
    <row r="135" spans="1:29">
      <c r="A135" s="77" t="s">
        <v>256</v>
      </c>
      <c r="B135" s="77" t="str">
        <f>Texte!$B$261</f>
        <v>Production de chaleur, besoins en puissance 50 W/m2</v>
      </c>
      <c r="C135" s="77" t="s">
        <v>662</v>
      </c>
      <c r="D135" s="78" t="s">
        <v>659</v>
      </c>
      <c r="E135" s="77" t="s">
        <v>246</v>
      </c>
      <c r="F135" s="77" t="s">
        <v>30</v>
      </c>
      <c r="G135" s="7">
        <v>20</v>
      </c>
      <c r="H135" s="44">
        <v>0.56953000000000009</v>
      </c>
      <c r="I135" s="43">
        <v>11.3</v>
      </c>
      <c r="J135" s="43">
        <v>9.06E-2</v>
      </c>
      <c r="K135" s="48">
        <f t="shared" si="5"/>
        <v>0.12772500000000001</v>
      </c>
      <c r="L135" s="47">
        <v>2.5</v>
      </c>
      <c r="M135" s="47">
        <v>5.45E-2</v>
      </c>
      <c r="N135" s="46">
        <f t="shared" si="6"/>
        <v>299.14999999999998</v>
      </c>
      <c r="O135" s="50">
        <v>5930</v>
      </c>
      <c r="P135" s="50">
        <v>53</v>
      </c>
      <c r="Q135" s="7" t="s">
        <v>19</v>
      </c>
      <c r="R135" s="7" t="s">
        <v>268</v>
      </c>
      <c r="S135" s="8" t="s">
        <v>30</v>
      </c>
      <c r="T135" s="8" t="s">
        <v>2352</v>
      </c>
      <c r="U135" s="7" t="s">
        <v>657</v>
      </c>
      <c r="W135">
        <v>34</v>
      </c>
      <c r="X135" t="s">
        <v>2030</v>
      </c>
      <c r="Y135">
        <f t="shared" si="3"/>
        <v>239</v>
      </c>
      <c r="Z135" t="str">
        <f t="shared" si="4"/>
        <v>D-34</v>
      </c>
      <c r="AB135">
        <v>289</v>
      </c>
      <c r="AC135" t="s">
        <v>2193</v>
      </c>
    </row>
    <row r="136" spans="1:29">
      <c r="A136" s="75" t="s">
        <v>256</v>
      </c>
      <c r="B136" s="77" t="str">
        <f>Texte!$B$317</f>
        <v>Production de chaleur (SIA 2032)</v>
      </c>
      <c r="C136" s="75"/>
      <c r="D136" s="75"/>
      <c r="E136" s="75" t="s">
        <v>246</v>
      </c>
      <c r="F136" s="75" t="s">
        <v>30</v>
      </c>
      <c r="G136" s="8">
        <v>20</v>
      </c>
      <c r="H136" s="44">
        <v>0.34172000000000002</v>
      </c>
      <c r="I136" s="44">
        <v>6.78</v>
      </c>
      <c r="J136" s="44">
        <v>5.4399999999999997E-2</v>
      </c>
      <c r="K136" s="48">
        <v>7.6634999999999995E-2</v>
      </c>
      <c r="L136" s="53">
        <v>1.5</v>
      </c>
      <c r="M136" s="53">
        <v>3.27E-2</v>
      </c>
      <c r="N136" s="50">
        <v>179.59</v>
      </c>
      <c r="O136" s="50">
        <v>3560</v>
      </c>
      <c r="P136" s="55">
        <v>31.8</v>
      </c>
      <c r="Q136" s="8" t="s">
        <v>19</v>
      </c>
      <c r="R136" s="7" t="s">
        <v>268</v>
      </c>
      <c r="S136" s="8" t="s">
        <v>30</v>
      </c>
      <c r="T136" s="8" t="s">
        <v>2352</v>
      </c>
      <c r="U136" s="7" t="s">
        <v>761</v>
      </c>
      <c r="W136">
        <v>35</v>
      </c>
      <c r="X136" t="s">
        <v>2031</v>
      </c>
      <c r="Y136">
        <f t="shared" si="3"/>
        <v>295</v>
      </c>
      <c r="Z136" t="str">
        <f t="shared" si="4"/>
        <v>D-35</v>
      </c>
      <c r="AB136">
        <v>290</v>
      </c>
      <c r="AC136" t="s">
        <v>2192</v>
      </c>
    </row>
    <row r="137" spans="1:29">
      <c r="A137" s="77" t="s">
        <v>256</v>
      </c>
      <c r="B137" s="77" t="str">
        <f>Texte!$B$262</f>
        <v>Distribution de chaleur, administration</v>
      </c>
      <c r="C137" s="77" t="s">
        <v>664</v>
      </c>
      <c r="D137" s="78" t="s">
        <v>659</v>
      </c>
      <c r="E137" s="77" t="s">
        <v>246</v>
      </c>
      <c r="F137" s="77" t="s">
        <v>30</v>
      </c>
      <c r="G137" s="7">
        <v>30</v>
      </c>
      <c r="H137" s="44">
        <v>1.0896666666666666</v>
      </c>
      <c r="I137" s="43">
        <v>29.9</v>
      </c>
      <c r="J137" s="43">
        <v>2.79</v>
      </c>
      <c r="K137" s="48">
        <f>(L137+M137)/$G137</f>
        <v>0.25399999999999995</v>
      </c>
      <c r="L137" s="47">
        <v>6.56</v>
      </c>
      <c r="M137" s="47">
        <v>1.06</v>
      </c>
      <c r="N137" s="46">
        <f>(O137+P137)/$G137</f>
        <v>499.66666666666669</v>
      </c>
      <c r="O137" s="50">
        <v>13900</v>
      </c>
      <c r="P137" s="50">
        <v>1090</v>
      </c>
      <c r="Q137" s="7" t="s">
        <v>19</v>
      </c>
      <c r="R137" s="7" t="s">
        <v>268</v>
      </c>
      <c r="S137" s="8" t="s">
        <v>30</v>
      </c>
      <c r="T137" s="8" t="s">
        <v>2350</v>
      </c>
      <c r="U137" s="7" t="s">
        <v>657</v>
      </c>
      <c r="W137">
        <v>36</v>
      </c>
      <c r="X137" t="s">
        <v>2032</v>
      </c>
      <c r="Y137">
        <f t="shared" si="3"/>
        <v>240</v>
      </c>
      <c r="Z137" t="str">
        <f t="shared" si="4"/>
        <v>D-36</v>
      </c>
      <c r="AB137">
        <v>291</v>
      </c>
      <c r="AC137" t="s">
        <v>2128</v>
      </c>
    </row>
    <row r="138" spans="1:29">
      <c r="A138" s="75" t="s">
        <v>256</v>
      </c>
      <c r="B138" s="77" t="str">
        <f>Texte!$B$319</f>
        <v>Distribution et dégagement de chaleur pour immeubles de bureaux (SIA 2032)</v>
      </c>
      <c r="C138" s="75"/>
      <c r="D138" s="75"/>
      <c r="E138" s="75" t="s">
        <v>246</v>
      </c>
      <c r="F138" s="75" t="s">
        <v>30</v>
      </c>
      <c r="G138" s="8">
        <v>30</v>
      </c>
      <c r="H138" s="44">
        <v>1.8475066666666664</v>
      </c>
      <c r="I138" s="44">
        <v>52.599999999999994</v>
      </c>
      <c r="J138" s="44">
        <v>2.8252000000000002</v>
      </c>
      <c r="K138" s="48">
        <v>0.43609000000000003</v>
      </c>
      <c r="L138" s="53">
        <v>12</v>
      </c>
      <c r="M138" s="53">
        <v>1.0827</v>
      </c>
      <c r="N138" s="50">
        <v>840.26333333333321</v>
      </c>
      <c r="O138" s="50">
        <v>0</v>
      </c>
      <c r="P138" s="55">
        <v>0</v>
      </c>
      <c r="Q138" s="8" t="s">
        <v>19</v>
      </c>
      <c r="R138" s="7" t="s">
        <v>268</v>
      </c>
      <c r="S138" s="8" t="s">
        <v>30</v>
      </c>
      <c r="T138" s="8" t="s">
        <v>2350</v>
      </c>
      <c r="U138" s="7" t="s">
        <v>761</v>
      </c>
      <c r="W138">
        <v>37</v>
      </c>
      <c r="X138" t="s">
        <v>2033</v>
      </c>
      <c r="Y138">
        <f t="shared" ref="Y138:Y151" si="7">RIGHT(X138,3)*1</f>
        <v>297</v>
      </c>
      <c r="Z138" t="str">
        <f t="shared" ref="Z138:Z151" si="8">RIGHT(A138,LEN(A138)-SEARCH("_",A138,3))&amp;"-"&amp;W138</f>
        <v>D-37</v>
      </c>
      <c r="AB138">
        <v>292</v>
      </c>
      <c r="AC138" t="s">
        <v>2149</v>
      </c>
    </row>
    <row r="139" spans="1:29">
      <c r="A139" s="75" t="s">
        <v>256</v>
      </c>
      <c r="B139" s="77" t="str">
        <f>Texte!$B$318</f>
        <v>Distribution et dégagement de chaleur pour immeubles résidentiels (SIA 2032)</v>
      </c>
      <c r="C139" s="75"/>
      <c r="D139" s="75"/>
      <c r="E139" s="75" t="s">
        <v>246</v>
      </c>
      <c r="F139" s="75" t="s">
        <v>30</v>
      </c>
      <c r="G139" s="8">
        <v>30</v>
      </c>
      <c r="H139" s="44">
        <v>1.2207233333333334</v>
      </c>
      <c r="I139" s="44">
        <v>34.200000000000003</v>
      </c>
      <c r="J139" s="44">
        <v>2.4217</v>
      </c>
      <c r="K139" s="48">
        <v>0.27080000000000004</v>
      </c>
      <c r="L139" s="53">
        <v>5.41</v>
      </c>
      <c r="M139" s="53">
        <v>2.714</v>
      </c>
      <c r="N139" s="50">
        <v>317.13333333333333</v>
      </c>
      <c r="O139" s="50">
        <v>0</v>
      </c>
      <c r="P139" s="55">
        <v>0</v>
      </c>
      <c r="Q139" s="8" t="s">
        <v>19</v>
      </c>
      <c r="R139" s="7" t="s">
        <v>268</v>
      </c>
      <c r="S139" s="8" t="s">
        <v>30</v>
      </c>
      <c r="T139" s="8" t="s">
        <v>2350</v>
      </c>
      <c r="U139" s="7" t="s">
        <v>761</v>
      </c>
      <c r="W139">
        <v>38</v>
      </c>
      <c r="X139" t="s">
        <v>2034</v>
      </c>
      <c r="Y139">
        <f t="shared" si="7"/>
        <v>296</v>
      </c>
      <c r="Z139" t="str">
        <f t="shared" si="8"/>
        <v>D-38</v>
      </c>
      <c r="AB139">
        <v>293</v>
      </c>
      <c r="AC139" t="s">
        <v>2148</v>
      </c>
    </row>
    <row r="140" spans="1:29">
      <c r="A140" s="77" t="s">
        <v>256</v>
      </c>
      <c r="B140" s="77" t="str">
        <f>Texte!$B$263</f>
        <v>Distribution et diffusion de chaleur, chauffage à air chaud</v>
      </c>
      <c r="C140" s="77" t="s">
        <v>668</v>
      </c>
      <c r="D140" s="78" t="s">
        <v>659</v>
      </c>
      <c r="E140" s="77" t="s">
        <v>246</v>
      </c>
      <c r="F140" s="77" t="s">
        <v>30</v>
      </c>
      <c r="G140" s="7">
        <v>30</v>
      </c>
      <c r="H140" s="44">
        <v>0.26521600000000001</v>
      </c>
      <c r="I140" s="43">
        <v>7.95</v>
      </c>
      <c r="J140" s="43">
        <v>6.4799999999999996E-3</v>
      </c>
      <c r="K140" s="48">
        <f>(L140+M140)/$G140</f>
        <v>5.657333333333333E-2</v>
      </c>
      <c r="L140" s="47">
        <v>1.63</v>
      </c>
      <c r="M140" s="47">
        <v>6.7199999999999996E-2</v>
      </c>
      <c r="N140" s="46">
        <f>(O140+P140)/$G140</f>
        <v>98.11999999999999</v>
      </c>
      <c r="O140" s="50">
        <v>2910</v>
      </c>
      <c r="P140" s="50">
        <v>33.6</v>
      </c>
      <c r="Q140" s="7" t="s">
        <v>19</v>
      </c>
      <c r="R140" s="7" t="s">
        <v>268</v>
      </c>
      <c r="S140" s="8" t="s">
        <v>30</v>
      </c>
      <c r="T140" s="8" t="s">
        <v>2350</v>
      </c>
      <c r="U140" s="7" t="s">
        <v>657</v>
      </c>
      <c r="W140">
        <v>39</v>
      </c>
      <c r="X140" t="s">
        <v>2035</v>
      </c>
      <c r="Y140">
        <f t="shared" si="7"/>
        <v>241</v>
      </c>
      <c r="Z140" t="str">
        <f t="shared" si="8"/>
        <v>D-39</v>
      </c>
      <c r="AB140">
        <v>294</v>
      </c>
      <c r="AC140" t="s">
        <v>2170</v>
      </c>
    </row>
    <row r="141" spans="1:29">
      <c r="A141" s="77" t="s">
        <v>256</v>
      </c>
      <c r="B141" s="77" t="str">
        <f>Texte!$B$264</f>
        <v>Distribution de chaleur, habitation</v>
      </c>
      <c r="C141" s="77" t="s">
        <v>663</v>
      </c>
      <c r="D141" s="78" t="s">
        <v>659</v>
      </c>
      <c r="E141" s="77" t="s">
        <v>246</v>
      </c>
      <c r="F141" s="77" t="s">
        <v>30</v>
      </c>
      <c r="G141" s="7">
        <v>30</v>
      </c>
      <c r="H141" s="44">
        <v>0.47766666666666668</v>
      </c>
      <c r="I141" s="43">
        <v>12</v>
      </c>
      <c r="J141" s="43">
        <v>2.33</v>
      </c>
      <c r="K141" s="48">
        <f>(L141+M141)/$G141</f>
        <v>0.10213333333333334</v>
      </c>
      <c r="L141" s="47">
        <v>2.39</v>
      </c>
      <c r="M141" s="47">
        <v>0.67400000000000004</v>
      </c>
      <c r="N141" s="46">
        <f>(O141+P141)/$G141</f>
        <v>182.56666666666666</v>
      </c>
      <c r="O141" s="50">
        <v>4670</v>
      </c>
      <c r="P141" s="50">
        <v>807</v>
      </c>
      <c r="Q141" s="7" t="s">
        <v>19</v>
      </c>
      <c r="R141" s="7" t="s">
        <v>268</v>
      </c>
      <c r="S141" s="8" t="s">
        <v>30</v>
      </c>
      <c r="T141" s="8" t="s">
        <v>2350</v>
      </c>
      <c r="U141" s="7" t="s">
        <v>657</v>
      </c>
      <c r="W141">
        <v>40</v>
      </c>
      <c r="X141" t="s">
        <v>2036</v>
      </c>
      <c r="Y141">
        <f t="shared" si="7"/>
        <v>242</v>
      </c>
      <c r="Z141" t="str">
        <f t="shared" si="8"/>
        <v>D-40</v>
      </c>
      <c r="AB141">
        <v>295</v>
      </c>
      <c r="AC141" t="s">
        <v>2180</v>
      </c>
    </row>
    <row r="142" spans="1:29">
      <c r="A142" s="77" t="s">
        <v>257</v>
      </c>
      <c r="B142" s="77" t="str">
        <f>Texte!$B$265</f>
        <v>Fenêtre en aluminium 3IV (CC)</v>
      </c>
      <c r="C142" s="77" t="s">
        <v>594</v>
      </c>
      <c r="D142" s="77" t="s">
        <v>593</v>
      </c>
      <c r="E142" s="77" t="s">
        <v>242</v>
      </c>
      <c r="F142" s="77" t="s">
        <v>30</v>
      </c>
      <c r="G142" s="42">
        <f>(I142+J142)/H142</f>
        <v>30</v>
      </c>
      <c r="H142" s="43">
        <v>23.058333333333334</v>
      </c>
      <c r="I142" s="43">
        <v>689.83333333333337</v>
      </c>
      <c r="J142" s="43">
        <v>1.9166666666666667</v>
      </c>
      <c r="K142" s="47">
        <v>5.63</v>
      </c>
      <c r="L142" s="47">
        <v>167.12</v>
      </c>
      <c r="M142" s="47">
        <v>1.86</v>
      </c>
      <c r="N142" s="50">
        <v>5772</v>
      </c>
      <c r="O142" s="50">
        <v>169140</v>
      </c>
      <c r="P142" s="50">
        <v>4028</v>
      </c>
      <c r="Q142" s="7" t="s">
        <v>20</v>
      </c>
      <c r="R142" s="7"/>
      <c r="S142" s="8" t="s">
        <v>30</v>
      </c>
      <c r="T142" s="8" t="s">
        <v>341</v>
      </c>
      <c r="U142" s="7" t="s">
        <v>651</v>
      </c>
      <c r="W142">
        <v>1</v>
      </c>
      <c r="X142" t="s">
        <v>2037</v>
      </c>
      <c r="Y142">
        <f t="shared" si="7"/>
        <v>243</v>
      </c>
      <c r="Z142" t="str">
        <f t="shared" si="8"/>
        <v>E3-1</v>
      </c>
      <c r="AB142">
        <v>296</v>
      </c>
      <c r="AC142" t="s">
        <v>2183</v>
      </c>
    </row>
    <row r="143" spans="1:29">
      <c r="A143" s="77" t="s">
        <v>257</v>
      </c>
      <c r="B143" s="77" t="str">
        <f>Texte!$B$266</f>
        <v>Porte extérieure, bois (CC)</v>
      </c>
      <c r="C143" s="77" t="s">
        <v>595</v>
      </c>
      <c r="D143" s="77" t="s">
        <v>596</v>
      </c>
      <c r="E143" s="77" t="s">
        <v>242</v>
      </c>
      <c r="F143" s="77" t="s">
        <v>30</v>
      </c>
      <c r="G143" s="42">
        <f>(I143+J143)/H143</f>
        <v>30.003319318433284</v>
      </c>
      <c r="H143" s="43">
        <v>25.105555555555554</v>
      </c>
      <c r="I143" s="43">
        <v>735</v>
      </c>
      <c r="J143" s="43">
        <v>18.25</v>
      </c>
      <c r="K143" s="47">
        <v>6.21</v>
      </c>
      <c r="L143" s="47">
        <v>179.75</v>
      </c>
      <c r="M143" s="47">
        <v>6.56</v>
      </c>
      <c r="N143" s="50">
        <v>11526</v>
      </c>
      <c r="O143" s="50">
        <v>300243</v>
      </c>
      <c r="P143" s="50">
        <v>45528</v>
      </c>
      <c r="Q143" s="7" t="s">
        <v>20</v>
      </c>
      <c r="R143" s="7"/>
      <c r="S143" s="8" t="s">
        <v>30</v>
      </c>
      <c r="T143" s="8" t="s">
        <v>341</v>
      </c>
      <c r="U143" s="7" t="s">
        <v>651</v>
      </c>
      <c r="W143">
        <v>2</v>
      </c>
      <c r="X143" t="s">
        <v>2038</v>
      </c>
      <c r="Y143">
        <f t="shared" si="7"/>
        <v>244</v>
      </c>
      <c r="Z143" t="str">
        <f t="shared" si="8"/>
        <v>E3-2</v>
      </c>
      <c r="AB143">
        <v>297</v>
      </c>
      <c r="AC143" t="s">
        <v>2182</v>
      </c>
    </row>
    <row r="144" spans="1:29">
      <c r="A144" s="77" t="s">
        <v>257</v>
      </c>
      <c r="B144" s="77" t="str">
        <f>Texte!$B$267</f>
        <v>Fenêtre en bois 3IV (CC)</v>
      </c>
      <c r="C144" s="77" t="s">
        <v>588</v>
      </c>
      <c r="D144" s="77" t="s">
        <v>587</v>
      </c>
      <c r="E144" s="77" t="s">
        <v>242</v>
      </c>
      <c r="F144" s="77" t="s">
        <v>30</v>
      </c>
      <c r="G144" s="42">
        <f>(I144+J144)/H144</f>
        <v>30</v>
      </c>
      <c r="H144" s="43">
        <v>11.605555555555556</v>
      </c>
      <c r="I144" s="43">
        <v>344.27777777777777</v>
      </c>
      <c r="J144" s="43">
        <v>3.8888888888888888</v>
      </c>
      <c r="K144" s="47">
        <v>2.76</v>
      </c>
      <c r="L144" s="47">
        <v>75.94</v>
      </c>
      <c r="M144" s="47">
        <v>6.75</v>
      </c>
      <c r="N144" s="50">
        <v>3769</v>
      </c>
      <c r="O144" s="50">
        <v>92963</v>
      </c>
      <c r="P144" s="50">
        <v>20111</v>
      </c>
      <c r="Q144" s="7" t="s">
        <v>20</v>
      </c>
      <c r="R144" s="7"/>
      <c r="S144" s="8" t="s">
        <v>30</v>
      </c>
      <c r="T144" s="8" t="s">
        <v>341</v>
      </c>
      <c r="U144" s="7" t="s">
        <v>651</v>
      </c>
      <c r="W144">
        <v>3</v>
      </c>
      <c r="X144" t="s">
        <v>2039</v>
      </c>
      <c r="Y144">
        <f t="shared" si="7"/>
        <v>245</v>
      </c>
      <c r="Z144" t="str">
        <f t="shared" si="8"/>
        <v>E3-3</v>
      </c>
      <c r="AB144">
        <v>298</v>
      </c>
      <c r="AC144" t="s">
        <v>2153</v>
      </c>
    </row>
    <row r="145" spans="1:29">
      <c r="A145" s="77" t="s">
        <v>257</v>
      </c>
      <c r="B145" s="77" t="str">
        <f>Texte!$B$268</f>
        <v>Fenêtre bois-métal 3IV (CC)</v>
      </c>
      <c r="C145" s="77" t="s">
        <v>589</v>
      </c>
      <c r="D145" s="77" t="s">
        <v>590</v>
      </c>
      <c r="E145" s="77" t="s">
        <v>242</v>
      </c>
      <c r="F145" s="77" t="s">
        <v>30</v>
      </c>
      <c r="G145" s="42">
        <f>(I145+J145)/H145</f>
        <v>30</v>
      </c>
      <c r="H145" s="43">
        <v>15.43611111111111</v>
      </c>
      <c r="I145" s="43">
        <v>459.25</v>
      </c>
      <c r="J145" s="43">
        <v>3.8333333333333335</v>
      </c>
      <c r="K145" s="47">
        <v>3.79</v>
      </c>
      <c r="L145" s="47">
        <v>105.29</v>
      </c>
      <c r="M145" s="47">
        <v>8.2899999999999991</v>
      </c>
      <c r="N145" s="50">
        <v>4758</v>
      </c>
      <c r="O145" s="50">
        <v>123164</v>
      </c>
      <c r="P145" s="50">
        <v>19581</v>
      </c>
      <c r="Q145" s="7" t="s">
        <v>20</v>
      </c>
      <c r="R145" s="7"/>
      <c r="S145" s="8" t="s">
        <v>30</v>
      </c>
      <c r="T145" s="8" t="s">
        <v>341</v>
      </c>
      <c r="U145" s="7" t="s">
        <v>651</v>
      </c>
      <c r="W145">
        <v>4</v>
      </c>
      <c r="X145" t="s">
        <v>2040</v>
      </c>
      <c r="Y145">
        <f t="shared" si="7"/>
        <v>246</v>
      </c>
      <c r="Z145" t="str">
        <f t="shared" si="8"/>
        <v>E3-4</v>
      </c>
      <c r="AB145">
        <v>299</v>
      </c>
      <c r="AC145" t="s">
        <v>2169</v>
      </c>
    </row>
    <row r="146" spans="1:29">
      <c r="A146" s="77" t="s">
        <v>257</v>
      </c>
      <c r="B146" s="77" t="str">
        <f>Texte!$B$269</f>
        <v>Fenêtre en matière synthétique 3IV (CC)</v>
      </c>
      <c r="C146" s="77" t="s">
        <v>592</v>
      </c>
      <c r="D146" s="77" t="s">
        <v>591</v>
      </c>
      <c r="E146" s="77" t="s">
        <v>242</v>
      </c>
      <c r="F146" s="77" t="s">
        <v>30</v>
      </c>
      <c r="G146" s="42">
        <f>(I146+J146)/H146</f>
        <v>30.000000000000004</v>
      </c>
      <c r="H146" s="43">
        <v>20.886111111111109</v>
      </c>
      <c r="I146" s="43">
        <v>577.55555555555554</v>
      </c>
      <c r="J146" s="43">
        <v>49.027777777777779</v>
      </c>
      <c r="K146" s="47">
        <v>4.68</v>
      </c>
      <c r="L146" s="47">
        <v>105.05</v>
      </c>
      <c r="M146" s="47">
        <v>35.39</v>
      </c>
      <c r="N146" s="50">
        <v>5579</v>
      </c>
      <c r="O146" s="50">
        <v>130268</v>
      </c>
      <c r="P146" s="50">
        <v>37116</v>
      </c>
      <c r="Q146" s="7" t="s">
        <v>20</v>
      </c>
      <c r="R146" s="7"/>
      <c r="S146" s="8" t="s">
        <v>30</v>
      </c>
      <c r="T146" s="8" t="s">
        <v>341</v>
      </c>
      <c r="U146" s="7" t="s">
        <v>651</v>
      </c>
      <c r="W146">
        <v>5</v>
      </c>
      <c r="X146" t="s">
        <v>2041</v>
      </c>
      <c r="Y146">
        <f t="shared" si="7"/>
        <v>247</v>
      </c>
      <c r="Z146" t="str">
        <f t="shared" si="8"/>
        <v>E3-5</v>
      </c>
      <c r="AB146">
        <v>300</v>
      </c>
      <c r="AC146" t="s">
        <v>2146</v>
      </c>
    </row>
    <row r="147" spans="1:29">
      <c r="A147" s="75" t="s">
        <v>257</v>
      </c>
      <c r="B147" s="77" t="str">
        <f>Texte!$B$298</f>
        <v>Fenêtre, valeur moyenne, 3 fois IV, y compris protection solaire (SIA 2032)</v>
      </c>
      <c r="C147" s="75"/>
      <c r="D147" s="75"/>
      <c r="E147" s="75" t="s">
        <v>242</v>
      </c>
      <c r="F147" s="75" t="s">
        <v>30</v>
      </c>
      <c r="G147" s="8">
        <v>30</v>
      </c>
      <c r="H147" s="44">
        <v>22.50500666666667</v>
      </c>
      <c r="I147" s="44">
        <v>671.48</v>
      </c>
      <c r="J147" s="44">
        <v>3.6702000000000004</v>
      </c>
      <c r="K147" s="48">
        <v>5.2411599999999998</v>
      </c>
      <c r="L147" s="53">
        <v>145.666</v>
      </c>
      <c r="M147" s="53">
        <v>11.5688</v>
      </c>
      <c r="N147" s="50">
        <v>7963.1333333333332</v>
      </c>
      <c r="O147" s="50">
        <v>231522</v>
      </c>
      <c r="P147" s="55">
        <v>7372</v>
      </c>
      <c r="Q147" s="8" t="s">
        <v>19</v>
      </c>
      <c r="R147" s="8"/>
      <c r="S147" s="8" t="s">
        <v>30</v>
      </c>
      <c r="T147" s="8" t="s">
        <v>341</v>
      </c>
      <c r="U147" s="7" t="s">
        <v>761</v>
      </c>
      <c r="W147">
        <v>6</v>
      </c>
      <c r="X147" t="s">
        <v>2042</v>
      </c>
      <c r="Y147">
        <f t="shared" si="7"/>
        <v>276</v>
      </c>
      <c r="Z147" t="str">
        <f t="shared" si="8"/>
        <v>E3-6</v>
      </c>
      <c r="AB147">
        <v>301</v>
      </c>
      <c r="AC147" t="s">
        <v>2160</v>
      </c>
    </row>
    <row r="148" spans="1:29">
      <c r="A148" s="75" t="s">
        <v>771</v>
      </c>
      <c r="B148" s="77" t="str">
        <f>Texte!$B$312</f>
        <v>Plafond d'installation suspendu (valeur moyenne) (SIA 2032)</v>
      </c>
      <c r="C148" s="75"/>
      <c r="D148" s="75"/>
      <c r="E148" s="75" t="s">
        <v>242</v>
      </c>
      <c r="F148" s="75" t="s">
        <v>30</v>
      </c>
      <c r="G148" s="8">
        <v>30</v>
      </c>
      <c r="H148" s="44">
        <v>2.7915743333333336</v>
      </c>
      <c r="I148" s="44">
        <v>82.939599999999999</v>
      </c>
      <c r="J148" s="44">
        <v>0.80763000000000018</v>
      </c>
      <c r="K148" s="48">
        <v>0.61595754999999996</v>
      </c>
      <c r="L148" s="53">
        <v>17.9101</v>
      </c>
      <c r="M148" s="53">
        <v>0.56862649999999992</v>
      </c>
      <c r="N148" s="50">
        <v>1607.7015833333332</v>
      </c>
      <c r="O148" s="50">
        <v>47732.324999999997</v>
      </c>
      <c r="P148" s="55">
        <v>498.72249999999997</v>
      </c>
      <c r="Q148" s="8" t="s">
        <v>19</v>
      </c>
      <c r="R148" s="8"/>
      <c r="S148" s="8" t="s">
        <v>30</v>
      </c>
      <c r="T148" s="8" t="s">
        <v>341</v>
      </c>
      <c r="U148" s="7" t="s">
        <v>761</v>
      </c>
      <c r="W148">
        <v>1</v>
      </c>
      <c r="X148" t="s">
        <v>2043</v>
      </c>
      <c r="Y148">
        <f t="shared" si="7"/>
        <v>290</v>
      </c>
      <c r="Z148" t="str">
        <f t="shared" si="8"/>
        <v>G-1</v>
      </c>
      <c r="AB148">
        <v>302</v>
      </c>
      <c r="AC148" t="s">
        <v>2158</v>
      </c>
    </row>
    <row r="149" spans="1:29">
      <c r="A149" s="75" t="s">
        <v>771</v>
      </c>
      <c r="B149" s="77" t="str">
        <f>Texte!$B$311</f>
        <v>Isolation contre la non-chauffée (SIA 2032)</v>
      </c>
      <c r="C149" s="75"/>
      <c r="D149" s="75"/>
      <c r="E149" s="75" t="s">
        <v>242</v>
      </c>
      <c r="F149" s="75" t="s">
        <v>30</v>
      </c>
      <c r="G149" s="8">
        <v>30</v>
      </c>
      <c r="H149" s="44">
        <v>1.6792249999999997</v>
      </c>
      <c r="I149" s="44">
        <v>49.949999999999996</v>
      </c>
      <c r="J149" s="44">
        <v>0.42675000000000002</v>
      </c>
      <c r="K149" s="48">
        <v>0.25364800000000004</v>
      </c>
      <c r="L149" s="53">
        <v>7.1625000000000005</v>
      </c>
      <c r="M149" s="53">
        <v>0.44694</v>
      </c>
      <c r="N149" s="50">
        <v>356.21</v>
      </c>
      <c r="O149" s="50">
        <v>10303.5</v>
      </c>
      <c r="P149" s="55">
        <v>382.8</v>
      </c>
      <c r="Q149" s="8" t="s">
        <v>20</v>
      </c>
      <c r="R149" s="8"/>
      <c r="S149" s="8" t="s">
        <v>30</v>
      </c>
      <c r="T149" s="8" t="s">
        <v>341</v>
      </c>
      <c r="U149" s="7" t="s">
        <v>761</v>
      </c>
      <c r="W149">
        <v>2</v>
      </c>
      <c r="X149" t="s">
        <v>2044</v>
      </c>
      <c r="Y149">
        <f t="shared" si="7"/>
        <v>289</v>
      </c>
      <c r="Z149" t="str">
        <f t="shared" si="8"/>
        <v>G-2</v>
      </c>
      <c r="AB149">
        <v>303</v>
      </c>
      <c r="AC149" t="s">
        <v>2165</v>
      </c>
    </row>
    <row r="150" spans="1:29">
      <c r="A150" s="75" t="s">
        <v>771</v>
      </c>
      <c r="B150" s="77" t="str">
        <f>Texte!$B$309</f>
        <v>Revêtement de sol fini (sans sous-construction) (SIA 2032)</v>
      </c>
      <c r="C150" s="75"/>
      <c r="D150" s="75"/>
      <c r="E150" s="75" t="s">
        <v>242</v>
      </c>
      <c r="F150" s="75" t="s">
        <v>30</v>
      </c>
      <c r="G150" s="8">
        <v>30</v>
      </c>
      <c r="H150" s="44">
        <v>1.7676700000000001</v>
      </c>
      <c r="I150" s="44">
        <v>52.56</v>
      </c>
      <c r="J150" s="44">
        <v>0.47009999999999996</v>
      </c>
      <c r="K150" s="48">
        <v>0.36997333333333338</v>
      </c>
      <c r="L150" s="53">
        <v>9.902000000000001</v>
      </c>
      <c r="M150" s="53">
        <v>1.1972</v>
      </c>
      <c r="N150" s="50">
        <v>542.87666666666667</v>
      </c>
      <c r="O150" s="50">
        <v>15490</v>
      </c>
      <c r="P150" s="55">
        <v>796.3</v>
      </c>
      <c r="Q150" s="8" t="s">
        <v>19</v>
      </c>
      <c r="R150" s="8"/>
      <c r="S150" s="8" t="s">
        <v>30</v>
      </c>
      <c r="T150" s="8" t="s">
        <v>341</v>
      </c>
      <c r="U150" s="7" t="s">
        <v>761</v>
      </c>
      <c r="W150">
        <v>3</v>
      </c>
      <c r="X150" t="s">
        <v>2045</v>
      </c>
      <c r="Y150">
        <f t="shared" si="7"/>
        <v>287</v>
      </c>
      <c r="Z150" t="str">
        <f t="shared" si="8"/>
        <v>G-3</v>
      </c>
      <c r="AB150">
        <v>304</v>
      </c>
      <c r="AC150" t="s">
        <v>2164</v>
      </c>
    </row>
    <row r="151" spans="1:29">
      <c r="A151" s="75" t="s">
        <v>771</v>
      </c>
      <c r="B151" s="77" t="str">
        <f>Texte!$B$310</f>
        <v>Sous-construction et revêtement de sol (SIA 2032)</v>
      </c>
      <c r="C151" s="75"/>
      <c r="D151" s="75"/>
      <c r="E151" s="75" t="s">
        <v>242</v>
      </c>
      <c r="F151" s="75" t="s">
        <v>30</v>
      </c>
      <c r="G151" s="8">
        <v>30</v>
      </c>
      <c r="H151" s="44">
        <v>4.1257659999999996</v>
      </c>
      <c r="I151" s="44">
        <v>116.4435</v>
      </c>
      <c r="J151" s="44">
        <v>7.3294800000000002</v>
      </c>
      <c r="K151" s="48">
        <v>1.1985903333333334</v>
      </c>
      <c r="L151" s="53">
        <v>32.753599999999999</v>
      </c>
      <c r="M151" s="53">
        <v>3.20411</v>
      </c>
      <c r="N151" s="50">
        <v>1786.2850000000001</v>
      </c>
      <c r="O151" s="50">
        <v>48925.599999999999</v>
      </c>
      <c r="P151" s="55">
        <v>4662.9500000000007</v>
      </c>
      <c r="Q151" s="8" t="s">
        <v>19</v>
      </c>
      <c r="R151" s="8"/>
      <c r="S151" s="8" t="s">
        <v>30</v>
      </c>
      <c r="T151" s="8" t="s">
        <v>341</v>
      </c>
      <c r="U151" s="7" t="s">
        <v>761</v>
      </c>
      <c r="W151">
        <v>4</v>
      </c>
      <c r="X151" t="s">
        <v>2046</v>
      </c>
      <c r="Y151">
        <f t="shared" si="7"/>
        <v>288</v>
      </c>
      <c r="Z151" t="str">
        <f t="shared" si="8"/>
        <v>G-4</v>
      </c>
      <c r="AB151">
        <v>305</v>
      </c>
      <c r="AC151" t="s">
        <v>2142</v>
      </c>
    </row>
    <row r="152" spans="1:29" ht="57" customHeight="1">
      <c r="A152" s="8"/>
      <c r="B152" s="8"/>
      <c r="C152" s="8"/>
      <c r="D152" s="8"/>
      <c r="E152" s="8"/>
      <c r="F152" s="8"/>
      <c r="G152" s="8"/>
      <c r="H152" s="8"/>
      <c r="I152" s="8"/>
      <c r="J152" s="8"/>
      <c r="K152" s="8"/>
      <c r="L152" s="8"/>
      <c r="Q152" s="8"/>
      <c r="R152" s="8"/>
      <c r="S152" s="8"/>
      <c r="T152" s="8"/>
    </row>
    <row r="153" spans="1:29" ht="17.600000000000001">
      <c r="A153" s="12" t="s">
        <v>205</v>
      </c>
      <c r="B153" s="8"/>
      <c r="C153" s="8"/>
      <c r="D153" s="8"/>
      <c r="E153" s="8"/>
      <c r="F153" s="8"/>
      <c r="G153" s="8"/>
      <c r="H153" s="8"/>
      <c r="I153" s="8"/>
      <c r="J153" s="8"/>
      <c r="K153" s="8"/>
      <c r="L153" s="8"/>
    </row>
    <row r="154" spans="1:29" ht="9" customHeight="1">
      <c r="A154" s="19"/>
      <c r="B154" s="8"/>
      <c r="C154" s="8"/>
      <c r="D154" s="8"/>
      <c r="E154" s="8"/>
      <c r="F154" s="8"/>
      <c r="G154" s="8"/>
      <c r="H154" s="8"/>
      <c r="I154" s="8"/>
      <c r="J154" s="8"/>
      <c r="K154" s="8"/>
      <c r="L154" s="8"/>
    </row>
    <row r="155" spans="1:29">
      <c r="A155" s="20" t="s">
        <v>203</v>
      </c>
      <c r="B155" s="20" t="s">
        <v>23</v>
      </c>
      <c r="C155" s="20" t="s">
        <v>202</v>
      </c>
      <c r="D155" s="20" t="s">
        <v>185</v>
      </c>
      <c r="E155" s="20" t="s">
        <v>232</v>
      </c>
      <c r="F155" s="20" t="s">
        <v>233</v>
      </c>
      <c r="G155" s="20" t="s">
        <v>276</v>
      </c>
      <c r="H155" s="110" t="s">
        <v>234</v>
      </c>
      <c r="I155" s="110"/>
      <c r="J155" s="110"/>
      <c r="K155" s="110" t="s">
        <v>235</v>
      </c>
      <c r="L155" s="110"/>
      <c r="M155" s="110"/>
      <c r="N155" s="110" t="s">
        <v>238</v>
      </c>
      <c r="O155" s="110"/>
      <c r="P155" s="110"/>
      <c r="Q155" s="20" t="s">
        <v>440</v>
      </c>
      <c r="R155" s="20" t="s">
        <v>230</v>
      </c>
      <c r="S155" s="20" t="s">
        <v>233</v>
      </c>
      <c r="T155" s="20" t="s">
        <v>2342</v>
      </c>
      <c r="U155" s="20" t="s">
        <v>534</v>
      </c>
    </row>
    <row r="156" spans="1:29" ht="26.6">
      <c r="A156" s="20"/>
      <c r="B156" s="20"/>
      <c r="C156" s="20"/>
      <c r="D156" s="20"/>
      <c r="E156" s="20"/>
      <c r="F156" s="20"/>
      <c r="G156" s="22" t="s">
        <v>277</v>
      </c>
      <c r="H156" s="21" t="s">
        <v>272</v>
      </c>
      <c r="I156" s="21" t="s">
        <v>236</v>
      </c>
      <c r="J156" s="21" t="s">
        <v>237</v>
      </c>
      <c r="K156" s="21" t="s">
        <v>273</v>
      </c>
      <c r="L156" s="21" t="s">
        <v>274</v>
      </c>
      <c r="M156" s="21" t="s">
        <v>275</v>
      </c>
      <c r="N156" s="21" t="s">
        <v>239</v>
      </c>
      <c r="O156" s="21" t="s">
        <v>240</v>
      </c>
      <c r="P156" s="21" t="s">
        <v>241</v>
      </c>
      <c r="Q156" s="21" t="s">
        <v>441</v>
      </c>
      <c r="R156" s="21"/>
      <c r="S156" s="21"/>
      <c r="T156" s="21"/>
      <c r="U156" s="21"/>
    </row>
    <row r="157" spans="1:29">
      <c r="A157" s="8" t="s">
        <v>1656</v>
      </c>
      <c r="B157" s="7" t="str">
        <f>Texte!$B$270</f>
        <v>Excavation (SIA 2032)</v>
      </c>
      <c r="C157" s="8"/>
      <c r="D157" s="75"/>
      <c r="E157" s="8" t="s">
        <v>762</v>
      </c>
      <c r="F157" s="8" t="s">
        <v>243</v>
      </c>
      <c r="G157" s="8">
        <v>60</v>
      </c>
      <c r="H157" s="44">
        <v>2.7833333333333331E-2</v>
      </c>
      <c r="I157" s="54">
        <v>1.67</v>
      </c>
      <c r="J157" s="54">
        <v>0</v>
      </c>
      <c r="K157" s="48">
        <f>(L157+M157)/$G157</f>
        <v>6.8666666666666659E-3</v>
      </c>
      <c r="L157" s="53">
        <v>0.41199999999999998</v>
      </c>
      <c r="M157" s="53">
        <v>0</v>
      </c>
      <c r="N157" s="46">
        <f>(O157+P157)/$G157</f>
        <v>8.15</v>
      </c>
      <c r="O157" s="46">
        <v>489</v>
      </c>
      <c r="P157" s="46">
        <v>0</v>
      </c>
      <c r="Q157" s="8" t="s">
        <v>19</v>
      </c>
      <c r="R157" s="8" t="s">
        <v>265</v>
      </c>
      <c r="S157" s="8" t="s">
        <v>243</v>
      </c>
      <c r="T157" s="8" t="s">
        <v>2343</v>
      </c>
      <c r="U157" s="7" t="s">
        <v>761</v>
      </c>
      <c r="W157">
        <f>COUNTIF($A$157:A157,A157)</f>
        <v>1</v>
      </c>
      <c r="X157" t="s">
        <v>1910</v>
      </c>
      <c r="Y157">
        <f>IFERROR(RIGHT(X157,3)*1,"")</f>
        <v>248</v>
      </c>
      <c r="Z157" t="str">
        <f>IF(Y157&lt;&gt;"",RIGHT(A157,LEN(A157)-SEARCH("_",A157,3))&amp;"-"&amp;W157,"")</f>
        <v>B-1</v>
      </c>
      <c r="AB157">
        <v>180</v>
      </c>
      <c r="AC157" t="s">
        <v>2096</v>
      </c>
    </row>
    <row r="158" spans="1:29">
      <c r="A158" s="8" t="s">
        <v>1656</v>
      </c>
      <c r="B158" s="7" t="str">
        <f>Texte!$B$272</f>
        <v>Fermeture de fosse du bâtiment, paroi de membrane (SIA 2032)</v>
      </c>
      <c r="C158" s="8"/>
      <c r="D158" s="75"/>
      <c r="E158" s="8" t="s">
        <v>242</v>
      </c>
      <c r="F158" s="8" t="s">
        <v>30</v>
      </c>
      <c r="G158" s="8">
        <v>60</v>
      </c>
      <c r="H158" s="44">
        <v>20.833333333333332</v>
      </c>
      <c r="I158" s="54">
        <v>1120</v>
      </c>
      <c r="J158" s="54">
        <v>130</v>
      </c>
      <c r="K158" s="48">
        <f>(L158+M158)/$G158</f>
        <v>6.7866666666666662</v>
      </c>
      <c r="L158" s="53">
        <v>382</v>
      </c>
      <c r="M158" s="53">
        <v>25.2</v>
      </c>
      <c r="N158" s="46">
        <f>(O158+P158)/$G158</f>
        <v>10808.333333333334</v>
      </c>
      <c r="O158" s="50">
        <v>583000</v>
      </c>
      <c r="P158" s="50">
        <v>65500</v>
      </c>
      <c r="Q158" s="8" t="s">
        <v>19</v>
      </c>
      <c r="R158" s="8"/>
      <c r="S158" s="8" t="s">
        <v>30</v>
      </c>
      <c r="T158" s="8" t="s">
        <v>2343</v>
      </c>
      <c r="U158" s="7" t="s">
        <v>761</v>
      </c>
      <c r="W158">
        <f>COUNTIF($A$157:A158,A158)</f>
        <v>2</v>
      </c>
      <c r="X158" t="s">
        <v>1911</v>
      </c>
      <c r="Y158">
        <f t="shared" ref="Y158:Y221" si="9">IFERROR(RIGHT(X158,3)*1,"")</f>
        <v>250</v>
      </c>
      <c r="Z158" t="str">
        <f t="shared" ref="Z158:Z221" si="10">IF(Y158&lt;&gt;"",RIGHT(A158,LEN(A158)-SEARCH("_",A158,3))&amp;"-"&amp;W158,"")</f>
        <v>B-2</v>
      </c>
      <c r="AB158">
        <v>181</v>
      </c>
      <c r="AC158" t="s">
        <v>2097</v>
      </c>
    </row>
    <row r="159" spans="1:29">
      <c r="A159" s="8" t="s">
        <v>1656</v>
      </c>
      <c r="B159" s="7" t="str">
        <f>Texte!$B$271</f>
        <v>Fermeture de la fosse du bâtiment, paroi berlinoise (SIA 2032)</v>
      </c>
      <c r="C159" s="8"/>
      <c r="D159" s="75"/>
      <c r="E159" s="8" t="s">
        <v>242</v>
      </c>
      <c r="F159" s="8" t="s">
        <v>30</v>
      </c>
      <c r="G159" s="8">
        <v>60</v>
      </c>
      <c r="H159" s="44">
        <v>11.286666666666667</v>
      </c>
      <c r="I159" s="54">
        <v>642</v>
      </c>
      <c r="J159" s="54">
        <v>35.200000000000003</v>
      </c>
      <c r="K159" s="48">
        <f>(L159+M159)/$G159</f>
        <v>3.0640000000000001</v>
      </c>
      <c r="L159" s="53">
        <v>177</v>
      </c>
      <c r="M159" s="53">
        <v>6.84</v>
      </c>
      <c r="N159" s="46">
        <f>(O159+P159)/$G159</f>
        <v>3996.6666666666665</v>
      </c>
      <c r="O159" s="50">
        <v>222000</v>
      </c>
      <c r="P159" s="50">
        <v>17800</v>
      </c>
      <c r="Q159" s="8" t="s">
        <v>19</v>
      </c>
      <c r="R159" s="8"/>
      <c r="S159" s="8" t="s">
        <v>30</v>
      </c>
      <c r="T159" s="8" t="s">
        <v>2343</v>
      </c>
      <c r="U159" s="7" t="s">
        <v>761</v>
      </c>
      <c r="W159">
        <f>COUNTIF($A$157:A159,A159)</f>
        <v>3</v>
      </c>
      <c r="X159" t="s">
        <v>1912</v>
      </c>
      <c r="Y159">
        <f t="shared" si="9"/>
        <v>249</v>
      </c>
      <c r="Z159" t="str">
        <f t="shared" si="10"/>
        <v>B-3</v>
      </c>
      <c r="AB159">
        <v>182</v>
      </c>
      <c r="AC159" t="s">
        <v>2098</v>
      </c>
    </row>
    <row r="160" spans="1:29">
      <c r="A160" s="8" t="s">
        <v>1656</v>
      </c>
      <c r="B160" s="7" t="str">
        <f>Texte!$B$273</f>
        <v>Fin de la fouille, paroi de palplanches (SIA 2032)</v>
      </c>
      <c r="C160" s="8"/>
      <c r="D160" s="75"/>
      <c r="E160" s="8" t="s">
        <v>242</v>
      </c>
      <c r="F160" s="8" t="s">
        <v>30</v>
      </c>
      <c r="G160" s="8">
        <v>60</v>
      </c>
      <c r="H160" s="44">
        <v>12.45</v>
      </c>
      <c r="I160" s="54">
        <v>747</v>
      </c>
      <c r="J160" s="54">
        <v>0</v>
      </c>
      <c r="K160" s="48">
        <f>(L160+M160)/$G160</f>
        <v>2.7166666666666668</v>
      </c>
      <c r="L160" s="53">
        <v>163</v>
      </c>
      <c r="M160" s="53">
        <v>0</v>
      </c>
      <c r="N160" s="46">
        <f>(O160+P160)/$G160</f>
        <v>3800</v>
      </c>
      <c r="O160" s="50">
        <v>228000</v>
      </c>
      <c r="P160" s="50">
        <v>0</v>
      </c>
      <c r="Q160" s="8" t="s">
        <v>19</v>
      </c>
      <c r="R160" s="8"/>
      <c r="S160" s="8" t="s">
        <v>30</v>
      </c>
      <c r="T160" s="8" t="s">
        <v>2343</v>
      </c>
      <c r="U160" s="7" t="s">
        <v>761</v>
      </c>
      <c r="W160">
        <f>COUNTIF($A$157:A160,A160)</f>
        <v>4</v>
      </c>
      <c r="X160" t="s">
        <v>1913</v>
      </c>
      <c r="Y160">
        <f t="shared" si="9"/>
        <v>251</v>
      </c>
      <c r="Z160" t="str">
        <f t="shared" si="10"/>
        <v>B-4</v>
      </c>
      <c r="AB160">
        <v>183</v>
      </c>
      <c r="AC160" t="s">
        <v>2099</v>
      </c>
    </row>
    <row r="161" spans="1:29">
      <c r="A161" s="8" t="s">
        <v>1656</v>
      </c>
      <c r="B161" s="7" t="str">
        <f>Texte!$B$274</f>
        <v>Pile, micro-pile (SIA 2032)</v>
      </c>
      <c r="C161" s="8"/>
      <c r="D161" s="75"/>
      <c r="E161" s="8" t="s">
        <v>763</v>
      </c>
      <c r="F161" s="8" t="s">
        <v>30</v>
      </c>
      <c r="G161" s="8">
        <v>60</v>
      </c>
      <c r="H161" s="44">
        <v>2.9</v>
      </c>
      <c r="I161" s="54">
        <v>174</v>
      </c>
      <c r="J161" s="54">
        <v>0</v>
      </c>
      <c r="K161" s="48">
        <v>0.76500000000000012</v>
      </c>
      <c r="L161" s="53">
        <v>45.900000000000006</v>
      </c>
      <c r="M161" s="53">
        <v>0</v>
      </c>
      <c r="N161" s="46">
        <v>1215</v>
      </c>
      <c r="O161" s="50">
        <v>72900</v>
      </c>
      <c r="P161" s="50">
        <v>0</v>
      </c>
      <c r="Q161" s="8" t="s">
        <v>19</v>
      </c>
      <c r="R161" s="8"/>
      <c r="S161" s="8" t="s">
        <v>30</v>
      </c>
      <c r="T161" s="8" t="s">
        <v>341</v>
      </c>
      <c r="U161" s="7" t="s">
        <v>761</v>
      </c>
      <c r="W161">
        <f>COUNTIF($A$157:A161,A161)</f>
        <v>5</v>
      </c>
      <c r="X161" t="s">
        <v>1916</v>
      </c>
      <c r="Y161">
        <f t="shared" si="9"/>
        <v>252</v>
      </c>
      <c r="Z161" t="str">
        <f t="shared" si="10"/>
        <v>B-5</v>
      </c>
      <c r="AB161">
        <v>184</v>
      </c>
      <c r="AC161" t="s">
        <v>2100</v>
      </c>
    </row>
    <row r="162" spans="1:29">
      <c r="A162" s="8" t="s">
        <v>1656</v>
      </c>
      <c r="B162" s="7" t="str">
        <f>Texte!$B$275</f>
        <v>Pieu, pieu de déplacement en béton in situ (SIA 2032)</v>
      </c>
      <c r="C162" s="8"/>
      <c r="D162" s="75"/>
      <c r="E162" s="8" t="s">
        <v>763</v>
      </c>
      <c r="F162" s="8" t="s">
        <v>30</v>
      </c>
      <c r="G162" s="8">
        <v>60</v>
      </c>
      <c r="H162" s="44">
        <v>6.8250000000000002</v>
      </c>
      <c r="I162" s="54">
        <v>409.5</v>
      </c>
      <c r="J162" s="54">
        <v>0</v>
      </c>
      <c r="K162" s="48">
        <v>2.2824999999999998</v>
      </c>
      <c r="L162" s="53">
        <v>136.94999999999999</v>
      </c>
      <c r="M162" s="53">
        <v>0</v>
      </c>
      <c r="N162" s="46">
        <v>3800</v>
      </c>
      <c r="O162" s="50">
        <v>228000</v>
      </c>
      <c r="P162" s="50">
        <v>0</v>
      </c>
      <c r="Q162" s="8" t="s">
        <v>19</v>
      </c>
      <c r="R162" s="8"/>
      <c r="S162" s="8" t="s">
        <v>30</v>
      </c>
      <c r="T162" s="8" t="s">
        <v>341</v>
      </c>
      <c r="U162" s="7" t="s">
        <v>761</v>
      </c>
      <c r="W162">
        <f>COUNTIF($A$157:A162,A162)</f>
        <v>6</v>
      </c>
      <c r="X162" t="s">
        <v>1917</v>
      </c>
      <c r="Y162">
        <f t="shared" si="9"/>
        <v>253</v>
      </c>
      <c r="Z162" t="str">
        <f t="shared" si="10"/>
        <v>B-6</v>
      </c>
      <c r="AB162">
        <v>185</v>
      </c>
      <c r="AC162" t="s">
        <v>2101</v>
      </c>
    </row>
    <row r="163" spans="1:29">
      <c r="A163" s="8" t="s">
        <v>1656</v>
      </c>
      <c r="B163" s="7" t="str">
        <f>Texte!$B$276</f>
        <v>Pile, pieu en béton préfabriqué (SIA 2032)</v>
      </c>
      <c r="C163" s="8"/>
      <c r="D163" s="75"/>
      <c r="E163" s="8" t="s">
        <v>763</v>
      </c>
      <c r="F163" s="8" t="s">
        <v>30</v>
      </c>
      <c r="G163" s="8">
        <v>60</v>
      </c>
      <c r="H163" s="44">
        <v>1.6524999999999999</v>
      </c>
      <c r="I163" s="44">
        <v>99.149999999999991</v>
      </c>
      <c r="J163" s="44">
        <v>0</v>
      </c>
      <c r="K163" s="48">
        <v>0.71500000000000008</v>
      </c>
      <c r="L163" s="53">
        <v>42.900000000000006</v>
      </c>
      <c r="M163" s="53">
        <v>0</v>
      </c>
      <c r="N163" s="46">
        <v>970</v>
      </c>
      <c r="O163" s="46">
        <v>58200</v>
      </c>
      <c r="P163" s="46">
        <v>0</v>
      </c>
      <c r="Q163" s="8" t="s">
        <v>19</v>
      </c>
      <c r="R163" s="8"/>
      <c r="S163" s="8" t="s">
        <v>30</v>
      </c>
      <c r="T163" s="8" t="s">
        <v>341</v>
      </c>
      <c r="U163" s="7" t="s">
        <v>761</v>
      </c>
      <c r="W163">
        <f>COUNTIF($A$157:A163,A163)</f>
        <v>7</v>
      </c>
      <c r="X163" t="s">
        <v>1918</v>
      </c>
      <c r="Y163">
        <f t="shared" si="9"/>
        <v>254</v>
      </c>
      <c r="Z163" t="str">
        <f t="shared" si="10"/>
        <v>B-7</v>
      </c>
      <c r="AB163">
        <v>186</v>
      </c>
      <c r="AC163" t="s">
        <v>2102</v>
      </c>
    </row>
    <row r="164" spans="1:29">
      <c r="A164" s="8" t="s">
        <v>261</v>
      </c>
      <c r="B164" s="8" t="str">
        <f>Texte!$B$330</f>
        <v>Dalle de sol en béton, assainissement par l’intérieur avec chape en ciment, 14cm XPS (CC)</v>
      </c>
      <c r="C164" s="8" t="s">
        <v>458</v>
      </c>
      <c r="D164" s="80" t="s">
        <v>461</v>
      </c>
      <c r="E164" s="8" t="s">
        <v>242</v>
      </c>
      <c r="F164" s="8" t="s">
        <v>30</v>
      </c>
      <c r="G164" s="35">
        <v>30.006430868167204</v>
      </c>
      <c r="H164" s="35">
        <v>6.2194444444444441</v>
      </c>
      <c r="I164" s="35">
        <v>179.29722222222222</v>
      </c>
      <c r="J164" s="35">
        <v>7.2916666666666661</v>
      </c>
      <c r="K164" s="8">
        <v>2.97</v>
      </c>
      <c r="L164" s="8">
        <v>71.81</v>
      </c>
      <c r="M164" s="8">
        <v>17.36</v>
      </c>
      <c r="N164" s="8">
        <v>2064</v>
      </c>
      <c r="O164" s="8">
        <v>47215</v>
      </c>
      <c r="P164" s="8">
        <v>14697</v>
      </c>
      <c r="Q164" s="8" t="s">
        <v>20</v>
      </c>
      <c r="R164" s="8"/>
      <c r="S164" s="8" t="s">
        <v>30</v>
      </c>
      <c r="T164" s="8" t="s">
        <v>341</v>
      </c>
      <c r="U164" s="7" t="s">
        <v>651</v>
      </c>
      <c r="W164">
        <f>COUNTIF($A$157:A164,A164)</f>
        <v>1</v>
      </c>
      <c r="X164" t="s">
        <v>2290</v>
      </c>
      <c r="Y164">
        <f t="shared" si="9"/>
        <v>308</v>
      </c>
      <c r="Z164" t="str">
        <f t="shared" si="10"/>
        <v>C1-1</v>
      </c>
      <c r="AB164">
        <v>187</v>
      </c>
      <c r="AC164" t="s">
        <v>2103</v>
      </c>
    </row>
    <row r="165" spans="1:29">
      <c r="A165" s="8" t="s">
        <v>261</v>
      </c>
      <c r="B165" s="8" t="str">
        <f>Texte!$B$278</f>
        <v>Plaque de base, fondation isolée (SIA 2032)</v>
      </c>
      <c r="C165" s="8"/>
      <c r="D165" s="75"/>
      <c r="E165" s="8" t="s">
        <v>242</v>
      </c>
      <c r="F165" s="8" t="s">
        <v>30</v>
      </c>
      <c r="G165" s="8">
        <v>60</v>
      </c>
      <c r="H165" s="44">
        <v>7.3726666666666665</v>
      </c>
      <c r="I165" s="44">
        <v>397.44</v>
      </c>
      <c r="J165" s="44">
        <v>44.92</v>
      </c>
      <c r="K165" s="48">
        <v>2.7103333333333333</v>
      </c>
      <c r="L165" s="8">
        <v>143.54</v>
      </c>
      <c r="M165" s="8">
        <v>19.079999999999998</v>
      </c>
      <c r="N165" s="50">
        <v>3578.1183333333333</v>
      </c>
      <c r="O165" s="50">
        <v>187110.47</v>
      </c>
      <c r="P165" s="50">
        <v>27576.63</v>
      </c>
      <c r="Q165" s="8" t="s">
        <v>20</v>
      </c>
      <c r="R165" s="8"/>
      <c r="S165" s="8" t="s">
        <v>30</v>
      </c>
      <c r="T165" s="8" t="s">
        <v>341</v>
      </c>
      <c r="U165" s="7" t="s">
        <v>761</v>
      </c>
      <c r="W165">
        <f>COUNTIF($A$157:A165,A165)</f>
        <v>2</v>
      </c>
      <c r="X165" t="s">
        <v>1919</v>
      </c>
      <c r="Y165">
        <f t="shared" si="9"/>
        <v>256</v>
      </c>
      <c r="Z165" t="str">
        <f t="shared" si="10"/>
        <v>C1-2</v>
      </c>
      <c r="AB165">
        <v>188</v>
      </c>
      <c r="AC165" t="s">
        <v>2104</v>
      </c>
    </row>
    <row r="166" spans="1:29">
      <c r="A166" s="8" t="s">
        <v>261</v>
      </c>
      <c r="B166" s="8" t="str">
        <f>Texte!$B$277</f>
        <v>Plaque de base, fondation non isolée (SIA 2032)</v>
      </c>
      <c r="C166" s="8"/>
      <c r="D166" s="75"/>
      <c r="E166" s="8" t="s">
        <v>242</v>
      </c>
      <c r="F166" s="8" t="s">
        <v>30</v>
      </c>
      <c r="G166" s="8">
        <v>60</v>
      </c>
      <c r="H166" s="44">
        <v>4.4995000000000003</v>
      </c>
      <c r="I166" s="44">
        <v>226.46</v>
      </c>
      <c r="J166" s="44">
        <v>43.51</v>
      </c>
      <c r="K166" s="48">
        <v>1.6329999999999998</v>
      </c>
      <c r="L166" s="8">
        <v>89.57</v>
      </c>
      <c r="M166" s="8">
        <v>8.41</v>
      </c>
      <c r="N166" s="50">
        <v>2734.7371666666668</v>
      </c>
      <c r="O166" s="50">
        <v>141955.97</v>
      </c>
      <c r="P166" s="50">
        <v>22128.26</v>
      </c>
      <c r="Q166" s="8" t="s">
        <v>19</v>
      </c>
      <c r="R166" s="8"/>
      <c r="S166" s="8" t="s">
        <v>30</v>
      </c>
      <c r="T166" s="8" t="s">
        <v>341</v>
      </c>
      <c r="U166" s="7" t="s">
        <v>761</v>
      </c>
      <c r="W166">
        <f>COUNTIF($A$157:A166,A166)</f>
        <v>3</v>
      </c>
      <c r="X166" t="s">
        <v>1920</v>
      </c>
      <c r="Y166">
        <f t="shared" si="9"/>
        <v>255</v>
      </c>
      <c r="Z166" t="str">
        <f t="shared" si="10"/>
        <v>C1-3</v>
      </c>
      <c r="AB166">
        <v>189</v>
      </c>
      <c r="AC166" t="s">
        <v>2108</v>
      </c>
    </row>
    <row r="167" spans="1:29">
      <c r="A167" s="8" t="s">
        <v>1657</v>
      </c>
      <c r="B167" s="8" t="str">
        <f>Texte!$B$280</f>
        <v>Paroi extérieure isolée sous terrain (SIA 2032)</v>
      </c>
      <c r="C167" s="8"/>
      <c r="D167" s="75"/>
      <c r="E167" s="8" t="s">
        <v>242</v>
      </c>
      <c r="F167" s="8" t="s">
        <v>30</v>
      </c>
      <c r="G167" s="8">
        <v>60</v>
      </c>
      <c r="H167" s="44">
        <v>8.2651666666666657</v>
      </c>
      <c r="I167" s="44">
        <v>462.78</v>
      </c>
      <c r="J167" s="44">
        <v>33.130000000000003</v>
      </c>
      <c r="K167" s="48">
        <v>2.7371666666666665</v>
      </c>
      <c r="L167" s="8">
        <v>131.26</v>
      </c>
      <c r="M167" s="8">
        <v>32.97</v>
      </c>
      <c r="N167" s="50">
        <v>3298.7833333333333</v>
      </c>
      <c r="O167" s="50">
        <v>168941.86</v>
      </c>
      <c r="P167" s="50">
        <v>28985.14</v>
      </c>
      <c r="Q167" s="8" t="s">
        <v>20</v>
      </c>
      <c r="R167" s="8"/>
      <c r="S167" s="8" t="s">
        <v>30</v>
      </c>
      <c r="T167" s="8" t="s">
        <v>341</v>
      </c>
      <c r="U167" s="7" t="s">
        <v>761</v>
      </c>
      <c r="W167">
        <f>COUNTIF($A$157:A167,A167)</f>
        <v>1</v>
      </c>
      <c r="X167" t="s">
        <v>1924</v>
      </c>
      <c r="Y167">
        <f t="shared" si="9"/>
        <v>258</v>
      </c>
      <c r="Z167" t="str">
        <f t="shared" si="10"/>
        <v>C211-1</v>
      </c>
      <c r="AB167">
        <v>190</v>
      </c>
      <c r="AC167" t="s">
        <v>2109</v>
      </c>
    </row>
    <row r="168" spans="1:29">
      <c r="A168" s="8" t="s">
        <v>1657</v>
      </c>
      <c r="B168" s="8" t="str">
        <f>Texte!$B$279</f>
        <v>Mur extérieur sous terrain non isolé (SIA 2032)</v>
      </c>
      <c r="C168" s="8"/>
      <c r="D168" s="75"/>
      <c r="E168" s="8" t="s">
        <v>242</v>
      </c>
      <c r="F168" s="8" t="s">
        <v>30</v>
      </c>
      <c r="G168" s="8">
        <v>60</v>
      </c>
      <c r="H168" s="44">
        <v>4.6161666666666674</v>
      </c>
      <c r="I168" s="44">
        <v>245.9</v>
      </c>
      <c r="J168" s="44">
        <v>31.07</v>
      </c>
      <c r="K168" s="48">
        <v>1.5068333333333332</v>
      </c>
      <c r="L168" s="8">
        <v>75.22</v>
      </c>
      <c r="M168" s="8">
        <v>15.19</v>
      </c>
      <c r="N168" s="50">
        <v>2323.402</v>
      </c>
      <c r="O168" s="50">
        <v>119407.36</v>
      </c>
      <c r="P168" s="50">
        <v>19996.759999999998</v>
      </c>
      <c r="Q168" s="8" t="s">
        <v>19</v>
      </c>
      <c r="R168" s="8"/>
      <c r="S168" s="8" t="s">
        <v>30</v>
      </c>
      <c r="T168" s="8" t="s">
        <v>341</v>
      </c>
      <c r="U168" s="7" t="s">
        <v>761</v>
      </c>
      <c r="W168">
        <f>COUNTIF($A$157:A168,A168)</f>
        <v>2</v>
      </c>
      <c r="X168" t="s">
        <v>1925</v>
      </c>
      <c r="Y168">
        <f t="shared" si="9"/>
        <v>257</v>
      </c>
      <c r="Z168" t="str">
        <f t="shared" si="10"/>
        <v>C211-2</v>
      </c>
      <c r="AB168">
        <v>191</v>
      </c>
      <c r="AC168" t="s">
        <v>2110</v>
      </c>
    </row>
    <row r="169" spans="1:29">
      <c r="A169" s="8" t="s">
        <v>259</v>
      </c>
      <c r="B169" s="8" t="str">
        <f>Texte!B334</f>
        <v>Assainissement par l’extérieur sur maçonnerie contre non chauffé (CC)</v>
      </c>
      <c r="C169" s="8" t="s">
        <v>448</v>
      </c>
      <c r="D169" s="80" t="s">
        <v>465</v>
      </c>
      <c r="E169" s="8" t="s">
        <v>242</v>
      </c>
      <c r="F169" s="8" t="s">
        <v>30</v>
      </c>
      <c r="G169" s="35">
        <v>33.901910828025478</v>
      </c>
      <c r="H169" s="35">
        <v>4.3611111111111107</v>
      </c>
      <c r="I169" s="35">
        <v>146.57499999999999</v>
      </c>
      <c r="J169" s="35">
        <v>1.2749999999999999</v>
      </c>
      <c r="K169" s="8">
        <v>0.97</v>
      </c>
      <c r="L169" s="8">
        <v>23.47</v>
      </c>
      <c r="M169" s="8">
        <v>9.6300000000000008</v>
      </c>
      <c r="N169" s="8">
        <v>850</v>
      </c>
      <c r="O169" s="8">
        <v>22241</v>
      </c>
      <c r="P169" s="8">
        <v>6536</v>
      </c>
      <c r="Q169" s="8" t="s">
        <v>20</v>
      </c>
      <c r="R169" s="8"/>
      <c r="S169" s="8" t="s">
        <v>30</v>
      </c>
      <c r="T169" s="8" t="s">
        <v>341</v>
      </c>
      <c r="U169" s="7" t="s">
        <v>651</v>
      </c>
      <c r="W169">
        <f>COUNTIF($A$157:A169,A169)</f>
        <v>1</v>
      </c>
      <c r="X169" t="s">
        <v>2196</v>
      </c>
      <c r="Y169">
        <f t="shared" si="9"/>
        <v>312</v>
      </c>
      <c r="Z169" t="str">
        <f t="shared" si="10"/>
        <v>C212-1</v>
      </c>
      <c r="AB169">
        <v>192</v>
      </c>
      <c r="AC169" t="s">
        <v>2111</v>
      </c>
    </row>
    <row r="170" spans="1:29">
      <c r="A170" s="8" t="s">
        <v>259</v>
      </c>
      <c r="B170" s="8" t="str">
        <f>Texte!B332</f>
        <v>Isolation thermique extérieure ventilée sur maçonnerie, 20cm laine de pierre (CC)</v>
      </c>
      <c r="C170" s="8" t="s">
        <v>445</v>
      </c>
      <c r="D170" s="80" t="s">
        <v>463</v>
      </c>
      <c r="E170" s="8" t="s">
        <v>242</v>
      </c>
      <c r="F170" s="8" t="s">
        <v>30</v>
      </c>
      <c r="G170" s="35">
        <v>39.9984496124031</v>
      </c>
      <c r="H170" s="35">
        <v>3.5833333333333335</v>
      </c>
      <c r="I170" s="35">
        <v>142.35277777777779</v>
      </c>
      <c r="J170" s="35">
        <v>0.97499999999999987</v>
      </c>
      <c r="K170" s="8">
        <v>0.43</v>
      </c>
      <c r="L170" s="8">
        <v>17.02</v>
      </c>
      <c r="M170" s="8">
        <v>0.17</v>
      </c>
      <c r="N170" s="8">
        <v>604</v>
      </c>
      <c r="O170" s="8">
        <v>20759</v>
      </c>
      <c r="P170" s="8">
        <v>3414</v>
      </c>
      <c r="Q170" s="8" t="s">
        <v>20</v>
      </c>
      <c r="R170" s="8"/>
      <c r="S170" s="8" t="s">
        <v>30</v>
      </c>
      <c r="T170" s="8" t="s">
        <v>341</v>
      </c>
      <c r="U170" s="7" t="s">
        <v>651</v>
      </c>
      <c r="W170">
        <f>COUNTIF($A$157:A170,A170)</f>
        <v>2</v>
      </c>
      <c r="X170" t="s">
        <v>2197</v>
      </c>
      <c r="Y170">
        <f t="shared" si="9"/>
        <v>310</v>
      </c>
      <c r="Z170" t="str">
        <f t="shared" si="10"/>
        <v>C212-2</v>
      </c>
      <c r="AB170">
        <v>193</v>
      </c>
      <c r="AC170" t="s">
        <v>2112</v>
      </c>
    </row>
    <row r="171" spans="1:29">
      <c r="A171" s="8" t="s">
        <v>259</v>
      </c>
      <c r="B171" s="8" t="str">
        <f>Texte!B333</f>
        <v>Isolation intérieure revêtue sur maçonnerie, 22cm laine de pierre (CC)</v>
      </c>
      <c r="C171" s="8" t="s">
        <v>447</v>
      </c>
      <c r="D171" s="80" t="s">
        <v>464</v>
      </c>
      <c r="E171" s="8" t="s">
        <v>242</v>
      </c>
      <c r="F171" s="8" t="s">
        <v>30</v>
      </c>
      <c r="G171" s="35">
        <v>30.020799999999998</v>
      </c>
      <c r="H171" s="35">
        <v>1.7361111111111112</v>
      </c>
      <c r="I171" s="35">
        <v>50.719444444444441</v>
      </c>
      <c r="J171" s="35">
        <v>1.4</v>
      </c>
      <c r="K171" s="8">
        <v>0.4</v>
      </c>
      <c r="L171" s="8">
        <v>11.18</v>
      </c>
      <c r="M171" s="8">
        <v>0.71</v>
      </c>
      <c r="N171" s="8">
        <v>500</v>
      </c>
      <c r="O171" s="8">
        <v>12390</v>
      </c>
      <c r="P171" s="8">
        <v>2624</v>
      </c>
      <c r="Q171" s="8" t="s">
        <v>20</v>
      </c>
      <c r="R171" s="8"/>
      <c r="S171" s="8" t="s">
        <v>30</v>
      </c>
      <c r="T171" s="8" t="s">
        <v>341</v>
      </c>
      <c r="U171" s="7" t="s">
        <v>651</v>
      </c>
      <c r="W171">
        <f>COUNTIF($A$157:A171,A171)</f>
        <v>3</v>
      </c>
      <c r="X171" t="s">
        <v>2198</v>
      </c>
      <c r="Y171">
        <f t="shared" si="9"/>
        <v>311</v>
      </c>
      <c r="Z171" t="str">
        <f t="shared" si="10"/>
        <v>C212-3</v>
      </c>
      <c r="AB171">
        <v>194</v>
      </c>
      <c r="AC171" t="s">
        <v>2113</v>
      </c>
    </row>
    <row r="172" spans="1:29">
      <c r="A172" s="8" t="s">
        <v>259</v>
      </c>
      <c r="B172" s="8" t="str">
        <f>Texte!B331</f>
        <v xml:space="preserve">Isolation thermique extérieure crépie sur maçonnerie, 20cm EPS (CC) </v>
      </c>
      <c r="C172" s="8" t="s">
        <v>446</v>
      </c>
      <c r="D172" s="80" t="s">
        <v>462</v>
      </c>
      <c r="E172" s="8" t="s">
        <v>242</v>
      </c>
      <c r="F172" s="8" t="s">
        <v>30</v>
      </c>
      <c r="G172" s="35">
        <v>30.007816571130796</v>
      </c>
      <c r="H172" s="35">
        <v>5.3305555555555557</v>
      </c>
      <c r="I172" s="35">
        <v>159.29722222222222</v>
      </c>
      <c r="J172" s="35">
        <v>0.66111111111111109</v>
      </c>
      <c r="K172" s="53">
        <v>3.26</v>
      </c>
      <c r="L172" s="53">
        <v>78.760000000000005</v>
      </c>
      <c r="M172" s="53">
        <v>19.079999999999998</v>
      </c>
      <c r="N172" s="71">
        <v>2212</v>
      </c>
      <c r="O172" s="71">
        <v>53977</v>
      </c>
      <c r="P172" s="8">
        <v>12373</v>
      </c>
      <c r="Q172" s="8" t="s">
        <v>20</v>
      </c>
      <c r="R172" s="8"/>
      <c r="S172" s="8" t="s">
        <v>30</v>
      </c>
      <c r="T172" s="8" t="s">
        <v>341</v>
      </c>
      <c r="U172" s="7" t="s">
        <v>651</v>
      </c>
      <c r="W172">
        <f>COUNTIF($A$157:A172,A172)</f>
        <v>4</v>
      </c>
      <c r="X172" t="s">
        <v>2199</v>
      </c>
      <c r="Y172">
        <f t="shared" si="9"/>
        <v>309</v>
      </c>
      <c r="Z172" t="str">
        <f t="shared" si="10"/>
        <v>C212-4</v>
      </c>
      <c r="AB172">
        <v>195</v>
      </c>
      <c r="AC172" t="s">
        <v>2114</v>
      </c>
    </row>
    <row r="173" spans="1:29">
      <c r="A173" s="8" t="s">
        <v>259</v>
      </c>
      <c r="B173" s="7" t="str">
        <f>$B$30</f>
        <v>Mur en briques avec enduit intérieur, double paroi (SIA 2032)</v>
      </c>
      <c r="C173" s="7"/>
      <c r="D173" s="77"/>
      <c r="E173" s="7" t="str">
        <f t="shared" ref="E173:U177" si="11">E30</f>
        <v>BTF</v>
      </c>
      <c r="F173" s="7" t="str">
        <f t="shared" si="11"/>
        <v>m2</v>
      </c>
      <c r="G173" s="7">
        <f t="shared" si="11"/>
        <v>42</v>
      </c>
      <c r="H173" s="74">
        <f t="shared" si="11"/>
        <v>10.063867033333331</v>
      </c>
      <c r="I173" s="74">
        <f t="shared" si="11"/>
        <v>409.21360000000004</v>
      </c>
      <c r="J173" s="74">
        <f t="shared" si="11"/>
        <v>20.152518000000004</v>
      </c>
      <c r="K173" s="73">
        <f t="shared" si="11"/>
        <v>3.17469716</v>
      </c>
      <c r="L173" s="73">
        <f t="shared" si="11"/>
        <v>132.6225</v>
      </c>
      <c r="M173" s="73">
        <f t="shared" si="11"/>
        <v>4.1059374000000002</v>
      </c>
      <c r="N173" s="42">
        <f t="shared" si="11"/>
        <v>2884.3068666666672</v>
      </c>
      <c r="O173" s="42">
        <f t="shared" si="11"/>
        <v>113364.70000000001</v>
      </c>
      <c r="P173" s="42">
        <f t="shared" si="11"/>
        <v>9763.9480000000003</v>
      </c>
      <c r="Q173" s="7" t="str">
        <f t="shared" si="11"/>
        <v>Ja</v>
      </c>
      <c r="R173" s="7"/>
      <c r="S173" s="7" t="str">
        <f t="shared" si="11"/>
        <v>m2</v>
      </c>
      <c r="T173" s="8" t="s">
        <v>341</v>
      </c>
      <c r="U173" s="7" t="str">
        <f t="shared" si="11"/>
        <v>SIA2032</v>
      </c>
      <c r="W173">
        <f>COUNTIF($A$157:A173,A173)</f>
        <v>5</v>
      </c>
      <c r="X173" t="s">
        <v>2200</v>
      </c>
      <c r="Y173" t="str">
        <f t="shared" si="9"/>
        <v/>
      </c>
      <c r="Z173" t="str">
        <f t="shared" si="10"/>
        <v/>
      </c>
      <c r="AB173">
        <v>196</v>
      </c>
      <c r="AC173" t="s">
        <v>2115</v>
      </c>
    </row>
    <row r="174" spans="1:29">
      <c r="A174" s="8" t="s">
        <v>259</v>
      </c>
      <c r="B174" s="7" t="str">
        <f>$B$31</f>
        <v>Mur en briques avec enduit intérieur, revêtement en fibrociment/pierre (SIA 2032)</v>
      </c>
      <c r="C174" s="7"/>
      <c r="D174" s="77"/>
      <c r="E174" s="7" t="str">
        <f t="shared" ref="E174:Q174" si="12">E31</f>
        <v>BTF</v>
      </c>
      <c r="F174" s="7" t="str">
        <f t="shared" si="12"/>
        <v>m2</v>
      </c>
      <c r="G174" s="7">
        <f t="shared" si="12"/>
        <v>42</v>
      </c>
      <c r="H174" s="74">
        <f t="shared" si="12"/>
        <v>8.1597471624999969</v>
      </c>
      <c r="I174" s="74">
        <f t="shared" si="12"/>
        <v>339.05445416666669</v>
      </c>
      <c r="J174" s="74">
        <f t="shared" si="12"/>
        <v>14.146869000000002</v>
      </c>
      <c r="K174" s="73">
        <f t="shared" si="12"/>
        <v>2.1583820344337603</v>
      </c>
      <c r="L174" s="73">
        <f t="shared" si="12"/>
        <v>93.025331677350437</v>
      </c>
      <c r="M174" s="73">
        <f t="shared" si="12"/>
        <v>3.0505007000000002</v>
      </c>
      <c r="N174" s="42">
        <f t="shared" si="12"/>
        <v>2200.1420107905988</v>
      </c>
      <c r="O174" s="42">
        <f t="shared" si="12"/>
        <v>89038.869764957271</v>
      </c>
      <c r="P174" s="42">
        <f t="shared" si="12"/>
        <v>6723.1840000000002</v>
      </c>
      <c r="Q174" s="7" t="str">
        <f t="shared" si="12"/>
        <v>Ja</v>
      </c>
      <c r="R174" s="7"/>
      <c r="S174" s="7" t="str">
        <f t="shared" si="11"/>
        <v>m2</v>
      </c>
      <c r="T174" s="8" t="s">
        <v>341</v>
      </c>
      <c r="U174" s="7" t="str">
        <f t="shared" si="11"/>
        <v>SIA2032</v>
      </c>
      <c r="W174">
        <f>COUNTIF($A$157:A174,A174)</f>
        <v>6</v>
      </c>
      <c r="X174" t="s">
        <v>2201</v>
      </c>
      <c r="Y174" t="str">
        <f t="shared" si="9"/>
        <v/>
      </c>
      <c r="Z174" t="str">
        <f t="shared" si="10"/>
        <v/>
      </c>
      <c r="AB174">
        <v>197</v>
      </c>
      <c r="AC174" t="s">
        <v>2116</v>
      </c>
    </row>
    <row r="175" spans="1:29">
      <c r="A175" s="8" t="s">
        <v>259</v>
      </c>
      <c r="B175" s="7" t="str">
        <f>$B$32</f>
        <v>Mur en briques avec enduit intérieur, revêtementen bois (SIA 2032)</v>
      </c>
      <c r="C175" s="7"/>
      <c r="D175" s="77"/>
      <c r="E175" s="7" t="str">
        <f t="shared" ref="E175" si="13">E32</f>
        <v>BTF</v>
      </c>
      <c r="F175" s="7" t="str">
        <f t="shared" si="11"/>
        <v>m2</v>
      </c>
      <c r="G175" s="7">
        <f t="shared" si="11"/>
        <v>42</v>
      </c>
      <c r="H175" s="74">
        <f t="shared" si="11"/>
        <v>5.9280046608333308</v>
      </c>
      <c r="I175" s="74">
        <f t="shared" si="11"/>
        <v>251.62047000000001</v>
      </c>
      <c r="J175" s="74">
        <f t="shared" si="11"/>
        <v>12.311153100000002</v>
      </c>
      <c r="K175" s="73">
        <f t="shared" si="11"/>
        <v>1.5775585087499999</v>
      </c>
      <c r="L175" s="73">
        <f t="shared" si="11"/>
        <v>69.307242500000001</v>
      </c>
      <c r="M175" s="73">
        <f t="shared" si="11"/>
        <v>3.5356488500000003</v>
      </c>
      <c r="N175" s="42">
        <f t="shared" si="11"/>
        <v>1847.8339741666668</v>
      </c>
      <c r="O175" s="42">
        <f t="shared" si="11"/>
        <v>75287.156000000003</v>
      </c>
      <c r="P175" s="42">
        <f t="shared" si="11"/>
        <v>6382.5763000000006</v>
      </c>
      <c r="Q175" s="7" t="str">
        <f t="shared" si="11"/>
        <v>Ja</v>
      </c>
      <c r="R175" s="7"/>
      <c r="S175" s="7" t="str">
        <f t="shared" si="11"/>
        <v>m2</v>
      </c>
      <c r="T175" s="8" t="s">
        <v>341</v>
      </c>
      <c r="U175" s="7" t="str">
        <f t="shared" si="11"/>
        <v>SIA2032</v>
      </c>
      <c r="W175">
        <f>COUNTIF($A$157:A175,A175)</f>
        <v>7</v>
      </c>
      <c r="X175" t="s">
        <v>2202</v>
      </c>
      <c r="Y175" t="str">
        <f t="shared" si="9"/>
        <v/>
      </c>
      <c r="Z175" t="str">
        <f t="shared" si="10"/>
        <v/>
      </c>
      <c r="AB175">
        <v>198</v>
      </c>
      <c r="AC175" t="s">
        <v>2117</v>
      </c>
    </row>
    <row r="176" spans="1:29">
      <c r="A176" s="8" t="s">
        <v>259</v>
      </c>
      <c r="B176" s="7" t="str">
        <f>$B$33</f>
        <v>Mur en briques avec enduit intérieur, revêtement en métal/verre (SIA 2032)</v>
      </c>
      <c r="C176" s="7"/>
      <c r="D176" s="77"/>
      <c r="E176" s="7" t="str">
        <f t="shared" ref="E176" si="14">E33</f>
        <v>BTF</v>
      </c>
      <c r="F176" s="7" t="str">
        <f t="shared" si="11"/>
        <v>m2</v>
      </c>
      <c r="G176" s="7">
        <f t="shared" si="11"/>
        <v>42</v>
      </c>
      <c r="H176" s="74">
        <f t="shared" si="11"/>
        <v>11.582977287499997</v>
      </c>
      <c r="I176" s="74">
        <f t="shared" si="11"/>
        <v>477.09785416666659</v>
      </c>
      <c r="J176" s="74">
        <f t="shared" si="11"/>
        <v>13.032674000000002</v>
      </c>
      <c r="K176" s="73">
        <f t="shared" si="11"/>
        <v>2.9094727001388883</v>
      </c>
      <c r="L176" s="73">
        <f t="shared" si="11"/>
        <v>119.06726180555555</v>
      </c>
      <c r="M176" s="73">
        <f t="shared" si="11"/>
        <v>7.0521972000000002</v>
      </c>
      <c r="N176" s="42">
        <f t="shared" si="11"/>
        <v>3015.1850652777775</v>
      </c>
      <c r="O176" s="42">
        <f t="shared" si="11"/>
        <v>120445.23194444443</v>
      </c>
      <c r="P176" s="42">
        <f t="shared" si="11"/>
        <v>7918.5439999999999</v>
      </c>
      <c r="Q176" s="7" t="str">
        <f t="shared" si="11"/>
        <v>Ja</v>
      </c>
      <c r="R176" s="7"/>
      <c r="S176" s="7" t="str">
        <f t="shared" si="11"/>
        <v>m2</v>
      </c>
      <c r="T176" s="8" t="s">
        <v>341</v>
      </c>
      <c r="U176" s="7" t="str">
        <f t="shared" si="11"/>
        <v>SIA2032</v>
      </c>
      <c r="W176">
        <f>COUNTIF($A$157:A176,A176)</f>
        <v>8</v>
      </c>
      <c r="X176" t="s">
        <v>2203</v>
      </c>
      <c r="Y176" t="str">
        <f t="shared" si="9"/>
        <v/>
      </c>
      <c r="Z176" t="str">
        <f t="shared" si="10"/>
        <v/>
      </c>
      <c r="AB176">
        <v>199</v>
      </c>
      <c r="AC176" t="s">
        <v>2118</v>
      </c>
    </row>
    <row r="177" spans="1:29">
      <c r="A177" s="8" t="s">
        <v>259</v>
      </c>
      <c r="B177" s="7" t="str">
        <f>$B$34</f>
        <v>Mur en briques avec enduit intérieur, isolation extérieure crépie (SIA 2032)</v>
      </c>
      <c r="C177" s="7"/>
      <c r="D177" s="77"/>
      <c r="E177" s="7" t="str">
        <f t="shared" ref="E177" si="15">E34</f>
        <v>BTF</v>
      </c>
      <c r="F177" s="7" t="str">
        <f t="shared" si="11"/>
        <v>m2</v>
      </c>
      <c r="G177" s="7">
        <f t="shared" si="11"/>
        <v>39</v>
      </c>
      <c r="H177" s="74">
        <f t="shared" si="11"/>
        <v>7.7843524166666604</v>
      </c>
      <c r="I177" s="74">
        <f t="shared" si="11"/>
        <v>280.75422500000002</v>
      </c>
      <c r="J177" s="74">
        <f t="shared" si="11"/>
        <v>13.403352500000002</v>
      </c>
      <c r="K177" s="73">
        <f t="shared" si="11"/>
        <v>2.2586531916666663</v>
      </c>
      <c r="L177" s="73">
        <f t="shared" si="11"/>
        <v>80.51155</v>
      </c>
      <c r="M177" s="73">
        <f t="shared" si="11"/>
        <v>8.185167250000001</v>
      </c>
      <c r="N177" s="42">
        <f t="shared" si="11"/>
        <v>1979.0583333333334</v>
      </c>
      <c r="O177" s="42">
        <f t="shared" si="11"/>
        <v>68374.8</v>
      </c>
      <c r="P177" s="42">
        <f t="shared" si="11"/>
        <v>8642.8100000000013</v>
      </c>
      <c r="Q177" s="7" t="str">
        <f t="shared" si="11"/>
        <v>Ja</v>
      </c>
      <c r="R177" s="7"/>
      <c r="S177" s="7" t="str">
        <f t="shared" si="11"/>
        <v>m2</v>
      </c>
      <c r="T177" s="8" t="s">
        <v>341</v>
      </c>
      <c r="U177" s="7" t="str">
        <f t="shared" si="11"/>
        <v>SIA2032</v>
      </c>
      <c r="W177">
        <f>COUNTIF($A$157:A177,A177)</f>
        <v>9</v>
      </c>
      <c r="X177" t="s">
        <v>2204</v>
      </c>
      <c r="Y177" t="str">
        <f t="shared" si="9"/>
        <v/>
      </c>
      <c r="Z177" t="str">
        <f t="shared" si="10"/>
        <v/>
      </c>
      <c r="AB177">
        <v>200</v>
      </c>
      <c r="AC177" t="s">
        <v>2119</v>
      </c>
    </row>
    <row r="178" spans="1:29">
      <c r="A178" s="8" t="s">
        <v>259</v>
      </c>
      <c r="B178" s="7" t="str">
        <f>$B$35</f>
        <v>Mur en béton avec enduit intérieur, parois extérieur en briques (SIA 2032)</v>
      </c>
      <c r="C178" s="7"/>
      <c r="D178" s="77"/>
      <c r="E178" s="7" t="str">
        <f t="shared" ref="E178:Q178" si="16">E35</f>
        <v>BTF</v>
      </c>
      <c r="F178" s="7" t="str">
        <f t="shared" si="16"/>
        <v>m2</v>
      </c>
      <c r="G178" s="7">
        <f t="shared" si="16"/>
        <v>49</v>
      </c>
      <c r="H178" s="74">
        <f t="shared" si="16"/>
        <v>10.276493946284502</v>
      </c>
      <c r="I178" s="74">
        <f t="shared" si="16"/>
        <v>427.68462038216563</v>
      </c>
      <c r="J178" s="74">
        <f t="shared" si="16"/>
        <v>34.848962394904461</v>
      </c>
      <c r="K178" s="73">
        <f t="shared" si="16"/>
        <v>3.2803793063906586</v>
      </c>
      <c r="L178" s="73">
        <f t="shared" si="16"/>
        <v>141.02148089171976</v>
      </c>
      <c r="M178" s="73">
        <f t="shared" si="16"/>
        <v>8.3741802917197461</v>
      </c>
      <c r="N178" s="42">
        <f t="shared" si="16"/>
        <v>3845.7318443736731</v>
      </c>
      <c r="O178" s="42">
        <f t="shared" si="16"/>
        <v>168531.38980891719</v>
      </c>
      <c r="P178" s="7">
        <f t="shared" si="16"/>
        <v>18294.056853503185</v>
      </c>
      <c r="Q178" s="7" t="str">
        <f t="shared" si="16"/>
        <v>Ja</v>
      </c>
      <c r="R178" s="8"/>
      <c r="S178" s="8" t="s">
        <v>30</v>
      </c>
      <c r="T178" s="8" t="s">
        <v>341</v>
      </c>
      <c r="U178" s="7" t="s">
        <v>761</v>
      </c>
      <c r="W178">
        <f>COUNTIF($A$157:A178,A178)</f>
        <v>10</v>
      </c>
      <c r="X178" t="s">
        <v>2205</v>
      </c>
      <c r="Y178" t="str">
        <f t="shared" si="9"/>
        <v/>
      </c>
      <c r="Z178" t="str">
        <f t="shared" si="10"/>
        <v/>
      </c>
      <c r="AB178">
        <v>201</v>
      </c>
      <c r="AC178" t="s">
        <v>2120</v>
      </c>
    </row>
    <row r="179" spans="1:29">
      <c r="A179" s="8" t="s">
        <v>259</v>
      </c>
      <c r="B179" s="7" t="str">
        <f>$B$36</f>
        <v>Mur en béton avec enduit intérieur, revêtement en fibrociment/pierre (SIA 2032)</v>
      </c>
      <c r="C179" s="7"/>
      <c r="D179" s="77"/>
      <c r="E179" s="7" t="str">
        <f t="shared" ref="E179:Q181" si="17">E36</f>
        <v>BTF</v>
      </c>
      <c r="F179" s="7" t="str">
        <f t="shared" si="17"/>
        <v>m2</v>
      </c>
      <c r="G179" s="7">
        <f t="shared" si="17"/>
        <v>50</v>
      </c>
      <c r="H179" s="74">
        <f t="shared" si="17"/>
        <v>8.372374075451166</v>
      </c>
      <c r="I179" s="74">
        <f t="shared" si="17"/>
        <v>357.52547454883228</v>
      </c>
      <c r="J179" s="74">
        <f t="shared" si="17"/>
        <v>28.843313394904463</v>
      </c>
      <c r="K179" s="73">
        <f t="shared" si="17"/>
        <v>2.2640641808244188</v>
      </c>
      <c r="L179" s="73">
        <f t="shared" si="17"/>
        <v>101.42431256907017</v>
      </c>
      <c r="M179" s="73">
        <f t="shared" si="17"/>
        <v>7.3187435917197465</v>
      </c>
      <c r="N179" s="42">
        <f t="shared" si="17"/>
        <v>3161.5669884976051</v>
      </c>
      <c r="O179" s="42">
        <f t="shared" si="17"/>
        <v>144205.55957387446</v>
      </c>
      <c r="P179" s="42">
        <f t="shared" si="17"/>
        <v>15253.292853503186</v>
      </c>
      <c r="Q179" s="7" t="str">
        <f t="shared" si="17"/>
        <v>Ja</v>
      </c>
      <c r="R179" s="8"/>
      <c r="S179" s="8" t="s">
        <v>30</v>
      </c>
      <c r="T179" s="8" t="s">
        <v>341</v>
      </c>
      <c r="U179" s="7" t="s">
        <v>761</v>
      </c>
      <c r="W179">
        <f>COUNTIF($A$157:A179,A179)</f>
        <v>11</v>
      </c>
      <c r="X179" t="s">
        <v>2206</v>
      </c>
      <c r="Y179" t="str">
        <f t="shared" si="9"/>
        <v/>
      </c>
      <c r="Z179" t="str">
        <f t="shared" si="10"/>
        <v/>
      </c>
      <c r="AB179">
        <v>202</v>
      </c>
      <c r="AC179" t="s">
        <v>2121</v>
      </c>
    </row>
    <row r="180" spans="1:29">
      <c r="A180" s="8" t="s">
        <v>259</v>
      </c>
      <c r="B180" s="7" t="str">
        <f>$B$37</f>
        <v>Mur en béton avec enduit intérieur, revêtement en métal/verre (SIA 2032)</v>
      </c>
      <c r="C180" s="7"/>
      <c r="D180" s="77"/>
      <c r="E180" s="7" t="str">
        <f t="shared" si="17"/>
        <v>BTF</v>
      </c>
      <c r="F180" s="7" t="str">
        <f t="shared" si="17"/>
        <v>m2</v>
      </c>
      <c r="G180" s="7">
        <f t="shared" si="17"/>
        <v>48</v>
      </c>
      <c r="H180" s="74">
        <f t="shared" si="17"/>
        <v>11.795604200451166</v>
      </c>
      <c r="I180" s="74">
        <f t="shared" si="17"/>
        <v>495.56887454883224</v>
      </c>
      <c r="J180" s="74">
        <f t="shared" si="17"/>
        <v>27.729118394904461</v>
      </c>
      <c r="K180" s="73">
        <f t="shared" si="17"/>
        <v>3.0151548465295468</v>
      </c>
      <c r="L180" s="73">
        <f t="shared" si="17"/>
        <v>127.46624269727529</v>
      </c>
      <c r="M180" s="73">
        <f t="shared" si="17"/>
        <v>11.320440091719746</v>
      </c>
      <c r="N180" s="42">
        <f t="shared" si="17"/>
        <v>3976.6100429847838</v>
      </c>
      <c r="O180" s="42">
        <f t="shared" si="17"/>
        <v>175611.92175336162</v>
      </c>
      <c r="P180" s="42">
        <f t="shared" si="17"/>
        <v>16448.652853503187</v>
      </c>
      <c r="Q180" s="7" t="str">
        <f t="shared" si="17"/>
        <v>Ja</v>
      </c>
      <c r="R180" s="8"/>
      <c r="S180" s="8" t="s">
        <v>30</v>
      </c>
      <c r="T180" s="8" t="s">
        <v>341</v>
      </c>
      <c r="U180" s="7" t="s">
        <v>761</v>
      </c>
      <c r="W180">
        <f>COUNTIF($A$157:A180,A180)</f>
        <v>12</v>
      </c>
      <c r="X180" t="s">
        <v>2207</v>
      </c>
      <c r="Y180" t="str">
        <f t="shared" si="9"/>
        <v/>
      </c>
      <c r="Z180" t="str">
        <f t="shared" si="10"/>
        <v/>
      </c>
      <c r="AB180">
        <v>203</v>
      </c>
      <c r="AC180" t="s">
        <v>2126</v>
      </c>
    </row>
    <row r="181" spans="1:29">
      <c r="A181" s="8" t="s">
        <v>259</v>
      </c>
      <c r="B181" s="7" t="str">
        <f>$B$38</f>
        <v>Mur en béton avec enduit intérieur, isolation extérieure crépie (SIA 2032)</v>
      </c>
      <c r="C181" s="7"/>
      <c r="D181" s="77"/>
      <c r="E181" s="7" t="str">
        <f t="shared" si="17"/>
        <v>BTF</v>
      </c>
      <c r="F181" s="7" t="str">
        <f t="shared" si="17"/>
        <v>m2</v>
      </c>
      <c r="G181" s="7">
        <f t="shared" si="17"/>
        <v>48</v>
      </c>
      <c r="H181" s="74">
        <f t="shared" si="17"/>
        <v>7.9969793296178313</v>
      </c>
      <c r="I181" s="74">
        <f t="shared" si="17"/>
        <v>299.22524538216561</v>
      </c>
      <c r="J181" s="74">
        <f t="shared" si="17"/>
        <v>28.099796894904465</v>
      </c>
      <c r="K181" s="73">
        <f t="shared" si="17"/>
        <v>2.3643353380573249</v>
      </c>
      <c r="L181" s="73">
        <f t="shared" si="17"/>
        <v>88.910530891719745</v>
      </c>
      <c r="M181" s="73">
        <f t="shared" si="17"/>
        <v>12.453410141719747</v>
      </c>
      <c r="N181" s="42">
        <f t="shared" si="17"/>
        <v>2940.4833110403397</v>
      </c>
      <c r="O181" s="42">
        <f t="shared" si="17"/>
        <v>123541.48980891719</v>
      </c>
      <c r="P181" s="42">
        <f t="shared" si="17"/>
        <v>17172.918853503186</v>
      </c>
      <c r="Q181" s="7" t="str">
        <f t="shared" si="17"/>
        <v>Ja</v>
      </c>
      <c r="R181" s="8"/>
      <c r="S181" s="8" t="s">
        <v>30</v>
      </c>
      <c r="T181" s="8" t="s">
        <v>341</v>
      </c>
      <c r="U181" s="7" t="s">
        <v>761</v>
      </c>
      <c r="W181">
        <f>COUNTIF($A$157:A181,A181)</f>
        <v>13</v>
      </c>
      <c r="X181" t="s">
        <v>2208</v>
      </c>
      <c r="Y181" t="str">
        <f t="shared" si="9"/>
        <v/>
      </c>
      <c r="Z181" t="str">
        <f t="shared" si="10"/>
        <v/>
      </c>
      <c r="AB181">
        <v>204</v>
      </c>
      <c r="AC181" t="s">
        <v>2127</v>
      </c>
    </row>
    <row r="182" spans="1:29">
      <c r="A182" s="8" t="s">
        <v>259</v>
      </c>
      <c r="B182" s="7" t="str">
        <f>$B$39</f>
        <v>Maçonnerie isolante en briques avec enduit intérieur et extérieur (SIA 2032)</v>
      </c>
      <c r="C182" s="7"/>
      <c r="D182" s="77"/>
      <c r="E182" s="7" t="str">
        <f t="shared" ref="E182:Q182" si="18">E39</f>
        <v>BTF</v>
      </c>
      <c r="F182" s="7" t="str">
        <f t="shared" si="18"/>
        <v>m2</v>
      </c>
      <c r="G182" s="7">
        <f t="shared" si="18"/>
        <v>56</v>
      </c>
      <c r="H182" s="74">
        <f t="shared" si="18"/>
        <v>7.6175259666666646</v>
      </c>
      <c r="I182" s="74">
        <f t="shared" si="18"/>
        <v>382.0262249999999</v>
      </c>
      <c r="J182" s="74">
        <f t="shared" si="18"/>
        <v>16.925525499999999</v>
      </c>
      <c r="K182" s="73">
        <f t="shared" si="18"/>
        <v>2.183743363333333</v>
      </c>
      <c r="L182" s="73">
        <f t="shared" si="18"/>
        <v>108.65345999999998</v>
      </c>
      <c r="M182" s="73">
        <f t="shared" si="18"/>
        <v>3.6094595499999991</v>
      </c>
      <c r="N182" s="42">
        <f t="shared" si="18"/>
        <v>1947.7177333333329</v>
      </c>
      <c r="O182" s="42">
        <f t="shared" si="18"/>
        <v>90515.98</v>
      </c>
      <c r="P182" s="42">
        <f t="shared" si="18"/>
        <v>8587.3939999999984</v>
      </c>
      <c r="Q182" s="7" t="str">
        <f t="shared" si="18"/>
        <v>Ja</v>
      </c>
      <c r="R182" s="8"/>
      <c r="S182" s="8" t="s">
        <v>30</v>
      </c>
      <c r="T182" s="8" t="s">
        <v>341</v>
      </c>
      <c r="U182" s="7" t="s">
        <v>761</v>
      </c>
      <c r="W182">
        <f>COUNTIF($A$157:A182,A182)</f>
        <v>14</v>
      </c>
      <c r="X182" t="s">
        <v>2209</v>
      </c>
      <c r="Y182" t="str">
        <f t="shared" si="9"/>
        <v/>
      </c>
      <c r="Z182" t="str">
        <f t="shared" si="10"/>
        <v/>
      </c>
      <c r="AB182">
        <v>205</v>
      </c>
      <c r="AC182" t="s">
        <v>2318</v>
      </c>
    </row>
    <row r="183" spans="1:29">
      <c r="A183" s="8" t="s">
        <v>259</v>
      </c>
      <c r="B183" s="7" t="str">
        <f>$B$40</f>
        <v>Maçonnerie isolante en briques avec enduit intérieur, isolation ext. crépie (SIA 2032)</v>
      </c>
      <c r="C183" s="7"/>
      <c r="D183" s="77"/>
      <c r="E183" s="7" t="str">
        <f t="shared" ref="E183:Q183" si="19">E40</f>
        <v>BTF</v>
      </c>
      <c r="F183" s="7" t="str">
        <f t="shared" si="19"/>
        <v>m2</v>
      </c>
      <c r="G183" s="7">
        <f t="shared" si="19"/>
        <v>48</v>
      </c>
      <c r="H183" s="74">
        <f t="shared" si="19"/>
        <v>11.444317966666663</v>
      </c>
      <c r="I183" s="74">
        <f t="shared" si="19"/>
        <v>495.85622499999988</v>
      </c>
      <c r="J183" s="74">
        <f t="shared" si="19"/>
        <v>17.899285499999998</v>
      </c>
      <c r="K183" s="73">
        <f t="shared" si="19"/>
        <v>3.1191030966666662</v>
      </c>
      <c r="L183" s="73">
        <f t="shared" si="19"/>
        <v>131.30415999999997</v>
      </c>
      <c r="M183" s="73">
        <f t="shared" si="19"/>
        <v>9.0195515499999992</v>
      </c>
      <c r="N183" s="42">
        <f t="shared" si="19"/>
        <v>2746.5910666666664</v>
      </c>
      <c r="O183" s="42">
        <f t="shared" si="19"/>
        <v>111567.98</v>
      </c>
      <c r="P183" s="42">
        <f t="shared" si="19"/>
        <v>11501.593999999999</v>
      </c>
      <c r="Q183" s="7" t="str">
        <f t="shared" si="19"/>
        <v>Ja</v>
      </c>
      <c r="R183" s="8"/>
      <c r="S183" s="8" t="s">
        <v>30</v>
      </c>
      <c r="T183" s="8" t="s">
        <v>341</v>
      </c>
      <c r="U183" s="7" t="s">
        <v>761</v>
      </c>
      <c r="W183">
        <f>COUNTIF($A$157:A183,A183)</f>
        <v>15</v>
      </c>
      <c r="X183" t="s">
        <v>2210</v>
      </c>
      <c r="Y183" t="str">
        <f t="shared" si="9"/>
        <v/>
      </c>
      <c r="Z183" t="str">
        <f t="shared" si="10"/>
        <v/>
      </c>
      <c r="AB183">
        <v>206</v>
      </c>
      <c r="AC183" t="s">
        <v>2319</v>
      </c>
    </row>
    <row r="184" spans="1:29">
      <c r="A184" s="8" t="s">
        <v>259</v>
      </c>
      <c r="B184" s="7" t="str">
        <f>$B$41</f>
        <v>Mur en bois, revêtement int. en plâtre, revêtement ext. en fibrociment/pierre (SIA 2032)</v>
      </c>
      <c r="C184" s="7"/>
      <c r="D184" s="77"/>
      <c r="E184" s="7" t="str">
        <f t="shared" ref="E184:Q184" si="20">E41</f>
        <v>BTF</v>
      </c>
      <c r="F184" s="7" t="str">
        <f t="shared" si="20"/>
        <v>m2</v>
      </c>
      <c r="G184" s="7">
        <f t="shared" si="20"/>
        <v>42</v>
      </c>
      <c r="H184" s="74">
        <f t="shared" si="20"/>
        <v>5.9633039458333323</v>
      </c>
      <c r="I184" s="74">
        <f t="shared" si="20"/>
        <v>233.37337416666668</v>
      </c>
      <c r="J184" s="74">
        <f t="shared" si="20"/>
        <v>5.5393474999999999</v>
      </c>
      <c r="K184" s="73">
        <f t="shared" si="20"/>
        <v>1.3044654144337606</v>
      </c>
      <c r="L184" s="73">
        <f t="shared" si="20"/>
        <v>49.465459677350431</v>
      </c>
      <c r="M184" s="73">
        <f t="shared" si="20"/>
        <v>2.4919075999999998</v>
      </c>
      <c r="N184" s="42">
        <f t="shared" si="20"/>
        <v>1694.0468607905987</v>
      </c>
      <c r="O184" s="42">
        <f t="shared" si="20"/>
        <v>67571.64976495727</v>
      </c>
      <c r="P184" s="42">
        <f t="shared" si="20"/>
        <v>3769.1644999999999</v>
      </c>
      <c r="Q184" s="7" t="str">
        <f t="shared" si="20"/>
        <v>Ja</v>
      </c>
      <c r="R184" s="8"/>
      <c r="S184" s="8" t="s">
        <v>30</v>
      </c>
      <c r="T184" s="8" t="s">
        <v>341</v>
      </c>
      <c r="U184" s="7" t="s">
        <v>761</v>
      </c>
      <c r="W184">
        <f>COUNTIF($A$157:A184,A184)</f>
        <v>16</v>
      </c>
      <c r="X184" t="s">
        <v>2211</v>
      </c>
      <c r="Y184" t="str">
        <f t="shared" si="9"/>
        <v/>
      </c>
      <c r="Z184" t="str">
        <f t="shared" si="10"/>
        <v/>
      </c>
      <c r="AB184">
        <v>216</v>
      </c>
      <c r="AC184" t="s">
        <v>2146</v>
      </c>
    </row>
    <row r="185" spans="1:29">
      <c r="A185" s="8" t="s">
        <v>259</v>
      </c>
      <c r="B185" s="7" t="str">
        <f>$B$42</f>
        <v>Mur en bois, revêtement int. en plâtre, revêtement ext. en bois (SIA 2032)</v>
      </c>
      <c r="C185" s="7"/>
      <c r="D185" s="77"/>
      <c r="E185" s="7" t="str">
        <f t="shared" ref="E185:Q186" si="21">E42</f>
        <v>BTF</v>
      </c>
      <c r="F185" s="7" t="str">
        <f t="shared" si="21"/>
        <v>m2</v>
      </c>
      <c r="G185" s="7">
        <f t="shared" si="21"/>
        <v>43</v>
      </c>
      <c r="H185" s="74">
        <f t="shared" si="21"/>
        <v>3.7315614441666671</v>
      </c>
      <c r="I185" s="74">
        <f t="shared" si="21"/>
        <v>145.93939</v>
      </c>
      <c r="J185" s="74">
        <f t="shared" si="21"/>
        <v>3.7036316000000005</v>
      </c>
      <c r="K185" s="73">
        <f t="shared" si="21"/>
        <v>0.72364188875000002</v>
      </c>
      <c r="L185" s="73">
        <f t="shared" si="21"/>
        <v>25.747370500000002</v>
      </c>
      <c r="M185" s="73">
        <f t="shared" si="21"/>
        <v>2.9770557499999999</v>
      </c>
      <c r="N185" s="42">
        <f t="shared" si="21"/>
        <v>1341.7388241666667</v>
      </c>
      <c r="O185" s="42">
        <f t="shared" si="21"/>
        <v>53819.936000000002</v>
      </c>
      <c r="P185" s="42">
        <f t="shared" si="21"/>
        <v>3428.5568000000003</v>
      </c>
      <c r="Q185" s="7" t="str">
        <f t="shared" si="21"/>
        <v>Ja</v>
      </c>
      <c r="R185" s="8"/>
      <c r="S185" s="8" t="s">
        <v>30</v>
      </c>
      <c r="T185" s="8" t="s">
        <v>341</v>
      </c>
      <c r="U185" s="7" t="s">
        <v>761</v>
      </c>
      <c r="W185">
        <f>COUNTIF($A$157:A185,A185)</f>
        <v>17</v>
      </c>
      <c r="X185" t="s">
        <v>2212</v>
      </c>
      <c r="Y185" t="str">
        <f t="shared" si="9"/>
        <v/>
      </c>
      <c r="Z185" t="str">
        <f t="shared" si="10"/>
        <v/>
      </c>
      <c r="AB185">
        <v>217</v>
      </c>
      <c r="AC185" t="s">
        <v>2147</v>
      </c>
    </row>
    <row r="186" spans="1:29">
      <c r="A186" s="8" t="s">
        <v>259</v>
      </c>
      <c r="B186" s="7" t="str">
        <f>$B$43</f>
        <v>Mur en bois, revêtement int. en plâtre, revêtement ext. en métal/verre (SIA 2032)</v>
      </c>
      <c r="C186" s="7"/>
      <c r="D186" s="77"/>
      <c r="E186" s="7" t="str">
        <f t="shared" si="21"/>
        <v>BTF</v>
      </c>
      <c r="F186" s="7" t="str">
        <f t="shared" si="21"/>
        <v>m2</v>
      </c>
      <c r="G186" s="7">
        <f t="shared" si="21"/>
        <v>42</v>
      </c>
      <c r="H186" s="74">
        <f t="shared" si="21"/>
        <v>9.3865340708333331</v>
      </c>
      <c r="I186" s="74">
        <f t="shared" si="21"/>
        <v>371.41677416666664</v>
      </c>
      <c r="J186" s="74">
        <f t="shared" si="21"/>
        <v>4.4251525000000003</v>
      </c>
      <c r="K186" s="73">
        <f t="shared" si="21"/>
        <v>2.0555560801388886</v>
      </c>
      <c r="L186" s="73">
        <f t="shared" si="21"/>
        <v>75.507389805555547</v>
      </c>
      <c r="M186" s="73">
        <f t="shared" si="21"/>
        <v>6.4936040999999998</v>
      </c>
      <c r="N186" s="42">
        <f t="shared" si="21"/>
        <v>2509.0899152777774</v>
      </c>
      <c r="O186" s="42">
        <f t="shared" si="21"/>
        <v>98978.011944444428</v>
      </c>
      <c r="P186" s="42">
        <f t="shared" si="21"/>
        <v>4964.5244999999995</v>
      </c>
      <c r="Q186" s="7" t="str">
        <f t="shared" si="21"/>
        <v>Ja</v>
      </c>
      <c r="R186" s="8"/>
      <c r="S186" s="8" t="s">
        <v>30</v>
      </c>
      <c r="T186" s="8" t="s">
        <v>341</v>
      </c>
      <c r="U186" s="7" t="s">
        <v>761</v>
      </c>
      <c r="W186">
        <f>COUNTIF($A$157:A186,A186)</f>
        <v>18</v>
      </c>
      <c r="X186" t="s">
        <v>2213</v>
      </c>
      <c r="Y186" t="str">
        <f t="shared" si="9"/>
        <v/>
      </c>
      <c r="Z186" t="str">
        <f t="shared" si="10"/>
        <v/>
      </c>
      <c r="AB186">
        <v>218</v>
      </c>
      <c r="AC186" t="s">
        <v>2148</v>
      </c>
    </row>
    <row r="187" spans="1:29">
      <c r="A187" s="8" t="s">
        <v>259</v>
      </c>
      <c r="B187" s="7" t="str">
        <f>$B$44</f>
        <v>Grille de colonnes avec système de façade aluminium/verre (SIA 2032)</v>
      </c>
      <c r="C187" s="7"/>
      <c r="D187" s="77"/>
      <c r="E187" s="7" t="str">
        <f t="shared" ref="E187:Q187" si="22">E44</f>
        <v>BTF</v>
      </c>
      <c r="F187" s="7" t="str">
        <f t="shared" si="22"/>
        <v>m2</v>
      </c>
      <c r="G187" s="7">
        <f t="shared" si="22"/>
        <v>50</v>
      </c>
      <c r="H187" s="74">
        <f t="shared" si="22"/>
        <v>26.550826305590945</v>
      </c>
      <c r="I187" s="74">
        <f t="shared" si="22"/>
        <v>1067.9082078556264</v>
      </c>
      <c r="J187" s="74">
        <f t="shared" si="22"/>
        <v>5.1458704798301493</v>
      </c>
      <c r="K187" s="73">
        <f t="shared" si="22"/>
        <v>6.0838588280254777</v>
      </c>
      <c r="L187" s="73">
        <f t="shared" si="22"/>
        <v>231.00473847133759</v>
      </c>
      <c r="M187" s="73">
        <f t="shared" si="22"/>
        <v>15.179291210191083</v>
      </c>
      <c r="N187" s="42">
        <f t="shared" si="22"/>
        <v>9751.6586996461428</v>
      </c>
      <c r="O187" s="42">
        <f t="shared" si="22"/>
        <v>388757.2518046709</v>
      </c>
      <c r="P187" s="42">
        <f t="shared" si="22"/>
        <v>8851.2701740976645</v>
      </c>
      <c r="Q187" s="7" t="str">
        <f t="shared" si="22"/>
        <v>Nein</v>
      </c>
      <c r="R187" s="8"/>
      <c r="S187" s="8" t="s">
        <v>30</v>
      </c>
      <c r="T187" s="8" t="s">
        <v>341</v>
      </c>
      <c r="U187" s="7" t="s">
        <v>761</v>
      </c>
      <c r="W187">
        <f>COUNTIF($A$157:A187,A187)</f>
        <v>19</v>
      </c>
      <c r="X187" t="s">
        <v>2214</v>
      </c>
      <c r="Y187" t="str">
        <f t="shared" si="9"/>
        <v/>
      </c>
      <c r="Z187" t="str">
        <f t="shared" si="10"/>
        <v/>
      </c>
      <c r="AB187">
        <v>219</v>
      </c>
      <c r="AC187" t="s">
        <v>2149</v>
      </c>
    </row>
    <row r="188" spans="1:29">
      <c r="A188" s="7" t="s">
        <v>460</v>
      </c>
      <c r="B188" s="7" t="str">
        <f>Texte!B202</f>
        <v>Paroi intérieure en briques de terre cuite, crépie (CC)</v>
      </c>
      <c r="C188" s="7" t="s">
        <v>597</v>
      </c>
      <c r="D188" s="77" t="s">
        <v>598</v>
      </c>
      <c r="E188" s="7" t="s">
        <v>242</v>
      </c>
      <c r="F188" s="7" t="s">
        <v>30</v>
      </c>
      <c r="G188" s="42">
        <f>(I188+J188)/H188</f>
        <v>52.412663755458517</v>
      </c>
      <c r="H188" s="43">
        <v>2.5444444444444443</v>
      </c>
      <c r="I188" s="43">
        <v>123.83333333333333</v>
      </c>
      <c r="J188" s="43">
        <v>9.5277777777777768</v>
      </c>
      <c r="K188" s="47">
        <v>0.76</v>
      </c>
      <c r="L188" s="47">
        <v>40.46</v>
      </c>
      <c r="M188" s="47">
        <v>1.68</v>
      </c>
      <c r="N188" s="50">
        <v>698</v>
      </c>
      <c r="O188" s="50">
        <v>30497</v>
      </c>
      <c r="P188" s="50">
        <v>4700</v>
      </c>
      <c r="Q188" s="7" t="s">
        <v>19</v>
      </c>
      <c r="R188" s="7" t="s">
        <v>266</v>
      </c>
      <c r="S188" s="8" t="s">
        <v>30</v>
      </c>
      <c r="T188" s="8" t="s">
        <v>341</v>
      </c>
      <c r="U188" s="7" t="s">
        <v>651</v>
      </c>
      <c r="W188">
        <f>COUNTIF($A$157:A188,A188)</f>
        <v>1</v>
      </c>
      <c r="X188" t="s">
        <v>2215</v>
      </c>
      <c r="Y188">
        <f t="shared" si="9"/>
        <v>180</v>
      </c>
      <c r="Z188" t="str">
        <f t="shared" si="10"/>
        <v>C22-1</v>
      </c>
      <c r="AB188">
        <v>220</v>
      </c>
      <c r="AC188" t="s">
        <v>2150</v>
      </c>
    </row>
    <row r="189" spans="1:29">
      <c r="A189" s="7" t="s">
        <v>460</v>
      </c>
      <c r="B189" s="7" t="str">
        <f>Texte!B203</f>
        <v>Paroi en béton 20cm (CC)</v>
      </c>
      <c r="C189" s="7" t="s">
        <v>601</v>
      </c>
      <c r="D189" s="77" t="s">
        <v>602</v>
      </c>
      <c r="E189" s="7" t="s">
        <v>242</v>
      </c>
      <c r="F189" s="7" t="s">
        <v>30</v>
      </c>
      <c r="G189" s="42">
        <f>(I189+J189)/H189</f>
        <v>59.97933884297521</v>
      </c>
      <c r="H189" s="43">
        <v>2.6888888888888887</v>
      </c>
      <c r="I189" s="43">
        <v>135.25</v>
      </c>
      <c r="J189" s="43">
        <v>26.027777777777779</v>
      </c>
      <c r="K189" s="47">
        <v>1.1399999999999999</v>
      </c>
      <c r="L189" s="47">
        <v>63.46</v>
      </c>
      <c r="M189" s="47">
        <v>5.21</v>
      </c>
      <c r="N189" s="50">
        <v>1501</v>
      </c>
      <c r="O189" s="50">
        <v>76973</v>
      </c>
      <c r="P189" s="50">
        <v>13082</v>
      </c>
      <c r="Q189" s="7" t="s">
        <v>19</v>
      </c>
      <c r="R189" s="7" t="s">
        <v>266</v>
      </c>
      <c r="S189" s="8" t="s">
        <v>30</v>
      </c>
      <c r="T189" s="8" t="s">
        <v>341</v>
      </c>
      <c r="U189" s="7" t="s">
        <v>651</v>
      </c>
      <c r="W189">
        <f>COUNTIF($A$157:A189,A189)</f>
        <v>2</v>
      </c>
      <c r="X189" t="s">
        <v>2216</v>
      </c>
      <c r="Y189">
        <f t="shared" si="9"/>
        <v>181</v>
      </c>
      <c r="Z189" t="str">
        <f t="shared" si="10"/>
        <v>C22-2</v>
      </c>
      <c r="AB189">
        <v>221</v>
      </c>
      <c r="AC189" t="s">
        <v>2151</v>
      </c>
    </row>
    <row r="190" spans="1:29">
      <c r="A190" s="7" t="s">
        <v>460</v>
      </c>
      <c r="B190" s="7" t="str">
        <f>Texte!B204</f>
        <v>Paroi légère en plaques de plâtre cartonné avec parement double (CC)</v>
      </c>
      <c r="C190" s="7" t="s">
        <v>603</v>
      </c>
      <c r="D190" s="77" t="s">
        <v>604</v>
      </c>
      <c r="E190" s="7" t="s">
        <v>242</v>
      </c>
      <c r="F190" s="7" t="s">
        <v>30</v>
      </c>
      <c r="G190" s="42">
        <f>(I190+J190)/H190</f>
        <v>30.340398201669878</v>
      </c>
      <c r="H190" s="43">
        <v>4.3250000000000002</v>
      </c>
      <c r="I190" s="43">
        <v>127.72222222222223</v>
      </c>
      <c r="J190" s="43">
        <v>3.5</v>
      </c>
      <c r="K190" s="47">
        <v>0.93</v>
      </c>
      <c r="L190" s="47">
        <v>27.17</v>
      </c>
      <c r="M190" s="47">
        <v>0.57999999999999996</v>
      </c>
      <c r="N190" s="50">
        <v>2025</v>
      </c>
      <c r="O190" s="50">
        <v>59064</v>
      </c>
      <c r="P190" s="50">
        <v>1698</v>
      </c>
      <c r="Q190" s="7" t="s">
        <v>19</v>
      </c>
      <c r="R190" s="7" t="s">
        <v>266</v>
      </c>
      <c r="S190" s="8" t="s">
        <v>30</v>
      </c>
      <c r="T190" s="8" t="s">
        <v>341</v>
      </c>
      <c r="U190" s="7" t="s">
        <v>651</v>
      </c>
      <c r="W190">
        <f>COUNTIF($A$157:A190,A190)</f>
        <v>3</v>
      </c>
      <c r="X190" t="s">
        <v>2217</v>
      </c>
      <c r="Y190">
        <f t="shared" si="9"/>
        <v>182</v>
      </c>
      <c r="Z190" t="str">
        <f t="shared" si="10"/>
        <v>C22-3</v>
      </c>
      <c r="AB190">
        <v>222</v>
      </c>
      <c r="AC190" t="s">
        <v>2152</v>
      </c>
    </row>
    <row r="191" spans="1:29">
      <c r="A191" s="7" t="s">
        <v>460</v>
      </c>
      <c r="B191" s="7" t="str">
        <f>Texte!B205</f>
        <v>Cloison simple ossature, montants, parement simple en plaques de plâtre cartonné (lignum)</v>
      </c>
      <c r="C191" s="7" t="s">
        <v>502</v>
      </c>
      <c r="D191" s="77" t="s">
        <v>499</v>
      </c>
      <c r="E191" s="7" t="s">
        <v>242</v>
      </c>
      <c r="F191" s="7" t="s">
        <v>30</v>
      </c>
      <c r="G191" s="7">
        <v>30</v>
      </c>
      <c r="H191" s="43">
        <v>3.5833333333333335</v>
      </c>
      <c r="I191" s="43">
        <v>0</v>
      </c>
      <c r="J191" s="43">
        <v>0</v>
      </c>
      <c r="K191" s="47">
        <v>0.77333333333333332</v>
      </c>
      <c r="L191" s="47"/>
      <c r="M191" s="47"/>
      <c r="N191" s="50">
        <v>1180.9000000000001</v>
      </c>
      <c r="O191" s="50"/>
      <c r="P191" s="50"/>
      <c r="Q191" s="7" t="s">
        <v>19</v>
      </c>
      <c r="R191" s="7" t="s">
        <v>266</v>
      </c>
      <c r="S191" s="8" t="s">
        <v>30</v>
      </c>
      <c r="T191" s="8" t="s">
        <v>341</v>
      </c>
      <c r="U191" s="7" t="s">
        <v>652</v>
      </c>
      <c r="W191">
        <f>COUNTIF($A$157:A191,A191)</f>
        <v>4</v>
      </c>
      <c r="X191" t="s">
        <v>2218</v>
      </c>
      <c r="Y191">
        <f t="shared" si="9"/>
        <v>183</v>
      </c>
      <c r="Z191" t="str">
        <f t="shared" si="10"/>
        <v>C22-4</v>
      </c>
      <c r="AB191">
        <v>223</v>
      </c>
      <c r="AC191" t="s">
        <v>2153</v>
      </c>
    </row>
    <row r="192" spans="1:29">
      <c r="A192" s="7" t="s">
        <v>460</v>
      </c>
      <c r="B192" s="7" t="str">
        <f>Texte!B206</f>
        <v>Cloison double ossature, montants, parement simple en plaques de plâtre cartonné (lignum)</v>
      </c>
      <c r="C192" s="7" t="s">
        <v>501</v>
      </c>
      <c r="D192" s="77" t="s">
        <v>498</v>
      </c>
      <c r="E192" s="7" t="s">
        <v>242</v>
      </c>
      <c r="F192" s="7" t="s">
        <v>30</v>
      </c>
      <c r="G192" s="7">
        <v>30</v>
      </c>
      <c r="H192" s="43">
        <v>2.5925925925925926</v>
      </c>
      <c r="I192" s="43">
        <v>0</v>
      </c>
      <c r="J192" s="43">
        <v>0</v>
      </c>
      <c r="K192" s="47">
        <v>0.58666666666666667</v>
      </c>
      <c r="L192" s="47"/>
      <c r="M192" s="47"/>
      <c r="N192" s="50">
        <v>864.76666666666665</v>
      </c>
      <c r="O192" s="50"/>
      <c r="P192" s="50"/>
      <c r="Q192" s="7" t="s">
        <v>19</v>
      </c>
      <c r="R192" s="7" t="s">
        <v>266</v>
      </c>
      <c r="S192" s="8" t="s">
        <v>30</v>
      </c>
      <c r="T192" s="8" t="s">
        <v>341</v>
      </c>
      <c r="U192" s="7" t="s">
        <v>652</v>
      </c>
      <c r="W192">
        <f>COUNTIF($A$157:A192,A192)</f>
        <v>5</v>
      </c>
      <c r="X192" t="s">
        <v>2219</v>
      </c>
      <c r="Y192">
        <f t="shared" si="9"/>
        <v>184</v>
      </c>
      <c r="Z192" t="str">
        <f t="shared" si="10"/>
        <v>C22-5</v>
      </c>
      <c r="AB192">
        <v>224</v>
      </c>
      <c r="AC192" t="s">
        <v>2154</v>
      </c>
    </row>
    <row r="193" spans="1:29">
      <c r="A193" s="7" t="s">
        <v>460</v>
      </c>
      <c r="B193" s="7" t="str">
        <f>Texte!B207</f>
        <v>Paroi de séparation en bois (CC)</v>
      </c>
      <c r="C193" s="7" t="s">
        <v>607</v>
      </c>
      <c r="D193" s="77" t="s">
        <v>608</v>
      </c>
      <c r="E193" s="7" t="s">
        <v>242</v>
      </c>
      <c r="F193" s="7" t="s">
        <v>30</v>
      </c>
      <c r="G193" s="42">
        <f>(I193+J193)/H193</f>
        <v>30.014644351464433</v>
      </c>
      <c r="H193" s="43">
        <v>2.6555555555555554</v>
      </c>
      <c r="I193" s="43">
        <v>78.305555555555543</v>
      </c>
      <c r="J193" s="43">
        <v>1.4</v>
      </c>
      <c r="K193" s="47">
        <v>0.5</v>
      </c>
      <c r="L193" s="47">
        <v>11.95</v>
      </c>
      <c r="M193" s="47">
        <v>3.01</v>
      </c>
      <c r="N193" s="50">
        <v>957</v>
      </c>
      <c r="O193" s="50">
        <v>14422</v>
      </c>
      <c r="P193" s="50">
        <v>14298</v>
      </c>
      <c r="Q193" s="7" t="s">
        <v>19</v>
      </c>
      <c r="R193" s="7" t="s">
        <v>266</v>
      </c>
      <c r="S193" s="8" t="s">
        <v>30</v>
      </c>
      <c r="T193" s="8" t="s">
        <v>341</v>
      </c>
      <c r="U193" s="7" t="s">
        <v>651</v>
      </c>
      <c r="W193">
        <f>COUNTIF($A$157:A193,A193)</f>
        <v>6</v>
      </c>
      <c r="X193" t="s">
        <v>2220</v>
      </c>
      <c r="Y193">
        <f t="shared" si="9"/>
        <v>185</v>
      </c>
      <c r="Z193" t="str">
        <f t="shared" si="10"/>
        <v>C22-6</v>
      </c>
      <c r="AB193">
        <v>225</v>
      </c>
      <c r="AC193" t="s">
        <v>2155</v>
      </c>
    </row>
    <row r="194" spans="1:29">
      <c r="A194" s="7" t="s">
        <v>460</v>
      </c>
      <c r="B194" s="7" t="str">
        <f>Texte!B208</f>
        <v>Paroi de séparation en bois massif avec doublage en plaques de plâtre cartonné (lignum)</v>
      </c>
      <c r="C194" s="7" t="s">
        <v>503</v>
      </c>
      <c r="D194" s="77" t="s">
        <v>500</v>
      </c>
      <c r="E194" s="7" t="s">
        <v>242</v>
      </c>
      <c r="F194" s="7" t="s">
        <v>30</v>
      </c>
      <c r="G194" s="7">
        <v>30</v>
      </c>
      <c r="H194" s="43">
        <v>7.2962962962962958</v>
      </c>
      <c r="I194" s="43">
        <v>0</v>
      </c>
      <c r="J194" s="43">
        <v>0</v>
      </c>
      <c r="K194" s="47">
        <v>1.5363333333333336</v>
      </c>
      <c r="L194" s="47"/>
      <c r="M194" s="47"/>
      <c r="N194" s="50">
        <v>2293.2666666666669</v>
      </c>
      <c r="O194" s="50"/>
      <c r="P194" s="50"/>
      <c r="Q194" s="7" t="s">
        <v>19</v>
      </c>
      <c r="R194" s="7" t="s">
        <v>266</v>
      </c>
      <c r="S194" s="8" t="s">
        <v>30</v>
      </c>
      <c r="T194" s="8" t="s">
        <v>341</v>
      </c>
      <c r="U194" s="7" t="s">
        <v>652</v>
      </c>
      <c r="W194">
        <f>COUNTIF($A$157:A194,A194)</f>
        <v>7</v>
      </c>
      <c r="X194" t="s">
        <v>2221</v>
      </c>
      <c r="Y194">
        <f t="shared" si="9"/>
        <v>186</v>
      </c>
      <c r="Z194" t="str">
        <f t="shared" si="10"/>
        <v>C22-7</v>
      </c>
      <c r="AB194">
        <v>226</v>
      </c>
      <c r="AC194" t="s">
        <v>2156</v>
      </c>
    </row>
    <row r="195" spans="1:29">
      <c r="A195" s="7" t="s">
        <v>460</v>
      </c>
      <c r="B195" s="7" t="str">
        <f>Texte!B209</f>
        <v>Paroi de séparation en carreaux de plâtre massif (CC)</v>
      </c>
      <c r="C195" s="7" t="s">
        <v>605</v>
      </c>
      <c r="D195" s="77" t="s">
        <v>606</v>
      </c>
      <c r="E195" s="7" t="s">
        <v>242</v>
      </c>
      <c r="F195" s="7" t="s">
        <v>30</v>
      </c>
      <c r="G195" s="42">
        <v>30</v>
      </c>
      <c r="H195" s="43">
        <v>4.8694444444444445</v>
      </c>
      <c r="I195" s="43">
        <v>131.5</v>
      </c>
      <c r="J195" s="43">
        <v>7.9166666666666661</v>
      </c>
      <c r="K195" s="47">
        <v>1.06</v>
      </c>
      <c r="L195" s="47">
        <v>29.34</v>
      </c>
      <c r="M195" s="47">
        <v>1.3</v>
      </c>
      <c r="N195" s="50">
        <v>1167</v>
      </c>
      <c r="O195" s="50">
        <v>29667</v>
      </c>
      <c r="P195" s="50">
        <v>3044</v>
      </c>
      <c r="Q195" s="7" t="s">
        <v>19</v>
      </c>
      <c r="R195" s="7" t="s">
        <v>266</v>
      </c>
      <c r="S195" s="8" t="s">
        <v>30</v>
      </c>
      <c r="T195" s="8" t="s">
        <v>341</v>
      </c>
      <c r="U195" s="7" t="s">
        <v>651</v>
      </c>
      <c r="W195">
        <f>COUNTIF($A$157:A195,A195)</f>
        <v>8</v>
      </c>
      <c r="X195" t="s">
        <v>2222</v>
      </c>
      <c r="Y195">
        <f t="shared" si="9"/>
        <v>187</v>
      </c>
      <c r="Z195" t="str">
        <f t="shared" si="10"/>
        <v>C22-8</v>
      </c>
      <c r="AB195">
        <v>227</v>
      </c>
      <c r="AC195" t="s">
        <v>2157</v>
      </c>
    </row>
    <row r="196" spans="1:29">
      <c r="A196" s="7" t="s">
        <v>460</v>
      </c>
      <c r="B196" s="7" t="str">
        <f>Texte!B210</f>
        <v>Maçonnerie à double paroi crépie (CC)</v>
      </c>
      <c r="C196" s="7" t="s">
        <v>599</v>
      </c>
      <c r="D196" s="77" t="s">
        <v>600</v>
      </c>
      <c r="E196" s="7" t="s">
        <v>242</v>
      </c>
      <c r="F196" s="7" t="s">
        <v>30</v>
      </c>
      <c r="G196" s="42">
        <f>(I196+J196)/H196</f>
        <v>57.192285876347135</v>
      </c>
      <c r="H196" s="43">
        <v>4.8972222222222221</v>
      </c>
      <c r="I196" s="43">
        <v>260.97222222222223</v>
      </c>
      <c r="J196" s="43">
        <v>19.111111111111111</v>
      </c>
      <c r="K196" s="47">
        <v>1.53</v>
      </c>
      <c r="L196" s="47">
        <v>85.78</v>
      </c>
      <c r="M196" s="47">
        <v>3.39</v>
      </c>
      <c r="N196" s="50">
        <v>1239</v>
      </c>
      <c r="O196" s="50">
        <v>60343</v>
      </c>
      <c r="P196" s="50">
        <v>9197</v>
      </c>
      <c r="Q196" s="7" t="s">
        <v>19</v>
      </c>
      <c r="R196" s="7" t="s">
        <v>266</v>
      </c>
      <c r="S196" s="8" t="s">
        <v>30</v>
      </c>
      <c r="T196" s="8" t="s">
        <v>341</v>
      </c>
      <c r="U196" s="7" t="s">
        <v>651</v>
      </c>
      <c r="W196">
        <f>COUNTIF($A$157:A196,A196)</f>
        <v>9</v>
      </c>
      <c r="X196" t="s">
        <v>2223</v>
      </c>
      <c r="Y196">
        <f t="shared" si="9"/>
        <v>188</v>
      </c>
      <c r="Z196" t="str">
        <f t="shared" si="10"/>
        <v>C22-9</v>
      </c>
      <c r="AB196">
        <v>228</v>
      </c>
      <c r="AC196" t="s">
        <v>2158</v>
      </c>
    </row>
    <row r="197" spans="1:29">
      <c r="A197" s="8" t="s">
        <v>460</v>
      </c>
      <c r="B197" s="7" t="str">
        <f>Texte!B305</f>
        <v>Valeur moyenne paroi intérieure non porteuse (avec enduit intérieur) (SIA 2032)</v>
      </c>
      <c r="C197" s="8"/>
      <c r="D197" s="75"/>
      <c r="E197" s="8" t="s">
        <v>242</v>
      </c>
      <c r="F197" s="8" t="s">
        <v>30</v>
      </c>
      <c r="G197" s="8">
        <v>30</v>
      </c>
      <c r="H197" s="44">
        <v>4.1233929666666667</v>
      </c>
      <c r="I197" s="44">
        <v>119.74312399999999</v>
      </c>
      <c r="J197" s="44">
        <v>3.9586650000000003</v>
      </c>
      <c r="K197" s="48">
        <v>0.92104072000000003</v>
      </c>
      <c r="L197" s="53">
        <v>25.6368796</v>
      </c>
      <c r="M197" s="53">
        <v>1.9943420000000001</v>
      </c>
      <c r="N197" s="50">
        <v>908.45949999999993</v>
      </c>
      <c r="O197" s="50">
        <v>25252.199999999997</v>
      </c>
      <c r="P197" s="55">
        <v>2001.585</v>
      </c>
      <c r="Q197" s="8" t="s">
        <v>19</v>
      </c>
      <c r="R197" s="7" t="s">
        <v>266</v>
      </c>
      <c r="S197" s="8" t="s">
        <v>30</v>
      </c>
      <c r="T197" s="8" t="s">
        <v>341</v>
      </c>
      <c r="U197" s="7" t="s">
        <v>761</v>
      </c>
      <c r="W197">
        <f>COUNTIF($A$157:A197,A197)</f>
        <v>10</v>
      </c>
      <c r="X197" t="s">
        <v>2291</v>
      </c>
      <c r="Y197">
        <f t="shared" si="9"/>
        <v>283</v>
      </c>
      <c r="Z197" t="str">
        <f t="shared" si="10"/>
        <v>C22-10</v>
      </c>
      <c r="AB197">
        <v>229</v>
      </c>
      <c r="AC197" t="s">
        <v>2159</v>
      </c>
    </row>
    <row r="198" spans="1:29">
      <c r="A198" s="8" t="s">
        <v>460</v>
      </c>
      <c r="B198" s="7" t="str">
        <f>Texte!B304</f>
        <v>Valeur moyenne des murs porteurs intérieurs (avec enduit intérieur) (SIA 2032)</v>
      </c>
      <c r="C198" s="8"/>
      <c r="D198" s="75"/>
      <c r="E198" s="8" t="s">
        <v>242</v>
      </c>
      <c r="F198" s="8" t="s">
        <v>30</v>
      </c>
      <c r="G198" s="8">
        <v>56</v>
      </c>
      <c r="H198" s="44">
        <v>3.7155000993170564</v>
      </c>
      <c r="I198" s="44">
        <v>163.75522812738851</v>
      </c>
      <c r="J198" s="44">
        <v>18.355077831634819</v>
      </c>
      <c r="K198" s="48">
        <v>1.2346430856302195</v>
      </c>
      <c r="L198" s="53">
        <v>56.58724696390658</v>
      </c>
      <c r="M198" s="53">
        <v>4.8387481739065814</v>
      </c>
      <c r="N198" s="50">
        <v>1444.3141881245576</v>
      </c>
      <c r="O198" s="50">
        <v>65360.809269639059</v>
      </c>
      <c r="P198" s="55">
        <v>9275.4420178343953</v>
      </c>
      <c r="Q198" s="8" t="s">
        <v>19</v>
      </c>
      <c r="R198" s="7" t="s">
        <v>266</v>
      </c>
      <c r="S198" s="8" t="s">
        <v>30</v>
      </c>
      <c r="T198" s="8" t="s">
        <v>341</v>
      </c>
      <c r="U198" s="7" t="s">
        <v>761</v>
      </c>
      <c r="W198">
        <f>COUNTIF($A$157:A198,A198)</f>
        <v>11</v>
      </c>
      <c r="X198" t="s">
        <v>2292</v>
      </c>
      <c r="Y198">
        <f t="shared" si="9"/>
        <v>282</v>
      </c>
      <c r="Z198" t="str">
        <f t="shared" si="10"/>
        <v>C22-11</v>
      </c>
      <c r="AB198">
        <v>230</v>
      </c>
      <c r="AC198" t="s">
        <v>2160</v>
      </c>
    </row>
    <row r="199" spans="1:29">
      <c r="A199" s="8" t="s">
        <v>260</v>
      </c>
      <c r="B199" s="8" t="str">
        <f>Texte!B335</f>
        <v>Assainissement par l’extérieur sur dalle en béton contre non chauffé (CC)</v>
      </c>
      <c r="C199" s="8" t="s">
        <v>452</v>
      </c>
      <c r="D199" s="80" t="s">
        <v>466</v>
      </c>
      <c r="E199" s="8" t="s">
        <v>242</v>
      </c>
      <c r="F199" s="8" t="s">
        <v>30</v>
      </c>
      <c r="G199" s="35">
        <v>29.998268897864978</v>
      </c>
      <c r="H199" s="35">
        <v>4.8138888888888882</v>
      </c>
      <c r="I199" s="35">
        <v>143.44999999999999</v>
      </c>
      <c r="J199" s="35">
        <v>0.95833333333333337</v>
      </c>
      <c r="K199" s="8">
        <v>1.1399999999999999</v>
      </c>
      <c r="L199" s="8">
        <v>21.22</v>
      </c>
      <c r="M199" s="8">
        <v>13.12</v>
      </c>
      <c r="N199" s="8">
        <v>1090</v>
      </c>
      <c r="O199" s="8">
        <v>18396</v>
      </c>
      <c r="P199" s="8">
        <v>14313</v>
      </c>
      <c r="Q199" s="8" t="s">
        <v>20</v>
      </c>
      <c r="R199" s="8"/>
      <c r="S199" s="8" t="s">
        <v>30</v>
      </c>
      <c r="T199" s="8" t="s">
        <v>341</v>
      </c>
      <c r="U199" s="7" t="s">
        <v>651</v>
      </c>
      <c r="W199">
        <f>COUNTIF($A$157:A199,A199)</f>
        <v>1</v>
      </c>
      <c r="X199" t="s">
        <v>2224</v>
      </c>
      <c r="Y199">
        <f t="shared" si="9"/>
        <v>313</v>
      </c>
      <c r="Z199" t="str">
        <f t="shared" si="10"/>
        <v>C41-1</v>
      </c>
      <c r="AB199">
        <v>231</v>
      </c>
      <c r="AC199" t="s">
        <v>2161</v>
      </c>
    </row>
    <row r="200" spans="1:29">
      <c r="A200" s="7" t="s">
        <v>260</v>
      </c>
      <c r="B200" s="7" t="str">
        <f>Texte!B211</f>
        <v>Solivage, chape et faux-plafond (lignum)</v>
      </c>
      <c r="C200" s="7" t="s">
        <v>507</v>
      </c>
      <c r="D200" s="77" t="s">
        <v>517</v>
      </c>
      <c r="E200" s="7" t="s">
        <v>242</v>
      </c>
      <c r="F200" s="7" t="s">
        <v>30</v>
      </c>
      <c r="G200" s="7">
        <v>60</v>
      </c>
      <c r="H200" s="43">
        <v>3.6111111111111112</v>
      </c>
      <c r="I200" s="43">
        <v>0</v>
      </c>
      <c r="J200" s="43">
        <v>0</v>
      </c>
      <c r="K200" s="47">
        <v>0.95133333333333325</v>
      </c>
      <c r="L200" s="47"/>
      <c r="M200" s="47"/>
      <c r="N200" s="50">
        <v>1397.65</v>
      </c>
      <c r="O200" s="50"/>
      <c r="P200" s="50"/>
      <c r="Q200" s="7" t="s">
        <v>19</v>
      </c>
      <c r="R200" s="7" t="s">
        <v>267</v>
      </c>
      <c r="S200" s="8" t="s">
        <v>30</v>
      </c>
      <c r="T200" s="8" t="s">
        <v>341</v>
      </c>
      <c r="U200" s="7" t="s">
        <v>652</v>
      </c>
      <c r="W200">
        <f>COUNTIF($A$157:A200,A200)</f>
        <v>2</v>
      </c>
      <c r="X200" t="s">
        <v>2225</v>
      </c>
      <c r="Y200">
        <f t="shared" si="9"/>
        <v>189</v>
      </c>
      <c r="Z200" t="str">
        <f t="shared" si="10"/>
        <v>C41-2</v>
      </c>
      <c r="AB200">
        <v>232</v>
      </c>
      <c r="AC200" t="s">
        <v>2162</v>
      </c>
    </row>
    <row r="201" spans="1:29">
      <c r="A201" s="7" t="s">
        <v>260</v>
      </c>
      <c r="B201" s="7" t="str">
        <f>Texte!B212</f>
        <v>Solivage, solives apparentes, plancher simple avec chape humide (lignum)</v>
      </c>
      <c r="C201" s="7" t="s">
        <v>506</v>
      </c>
      <c r="D201" s="77" t="s">
        <v>516</v>
      </c>
      <c r="E201" s="7" t="s">
        <v>242</v>
      </c>
      <c r="F201" s="7" t="s">
        <v>30</v>
      </c>
      <c r="G201" s="7">
        <v>60</v>
      </c>
      <c r="H201" s="43">
        <v>2.6064814814814814</v>
      </c>
      <c r="I201" s="43">
        <v>0</v>
      </c>
      <c r="J201" s="43">
        <v>0</v>
      </c>
      <c r="K201" s="47">
        <v>0.71716666666666673</v>
      </c>
      <c r="L201" s="47"/>
      <c r="M201" s="47"/>
      <c r="N201" s="50">
        <v>1173.4000000000001</v>
      </c>
      <c r="O201" s="50"/>
      <c r="P201" s="50"/>
      <c r="Q201" s="7" t="s">
        <v>19</v>
      </c>
      <c r="R201" s="7" t="s">
        <v>267</v>
      </c>
      <c r="S201" s="8" t="s">
        <v>30</v>
      </c>
      <c r="T201" s="8" t="s">
        <v>341</v>
      </c>
      <c r="U201" s="7" t="s">
        <v>652</v>
      </c>
      <c r="W201">
        <f>COUNTIF($A$157:A201,A201)</f>
        <v>3</v>
      </c>
      <c r="X201" t="s">
        <v>2226</v>
      </c>
      <c r="Y201">
        <f t="shared" si="9"/>
        <v>190</v>
      </c>
      <c r="Z201" t="str">
        <f t="shared" si="10"/>
        <v>C41-3</v>
      </c>
      <c r="AB201">
        <v>233</v>
      </c>
      <c r="AC201" t="s">
        <v>2163</v>
      </c>
    </row>
    <row r="202" spans="1:29">
      <c r="A202" s="7" t="s">
        <v>260</v>
      </c>
      <c r="B202" s="7" t="str">
        <f>Texte!B213</f>
        <v>Solivage, solives apparentes, plancher simple avec chape sèche (lignum)</v>
      </c>
      <c r="C202" s="7" t="s">
        <v>509</v>
      </c>
      <c r="D202" s="77" t="s">
        <v>519</v>
      </c>
      <c r="E202" s="7" t="s">
        <v>242</v>
      </c>
      <c r="F202" s="7" t="s">
        <v>30</v>
      </c>
      <c r="G202" s="7">
        <v>60</v>
      </c>
      <c r="H202" s="43">
        <v>2.9861111111111112</v>
      </c>
      <c r="I202" s="43">
        <v>0</v>
      </c>
      <c r="J202" s="43">
        <v>0</v>
      </c>
      <c r="K202" s="47">
        <v>0.60833333333333328</v>
      </c>
      <c r="L202" s="47"/>
      <c r="M202" s="47"/>
      <c r="N202" s="50">
        <v>1054.2833333333333</v>
      </c>
      <c r="O202" s="50"/>
      <c r="P202" s="50"/>
      <c r="Q202" s="7" t="s">
        <v>19</v>
      </c>
      <c r="R202" s="7" t="s">
        <v>267</v>
      </c>
      <c r="S202" s="8" t="s">
        <v>30</v>
      </c>
      <c r="T202" s="8" t="s">
        <v>341</v>
      </c>
      <c r="U202" s="7" t="s">
        <v>652</v>
      </c>
      <c r="W202">
        <f>COUNTIF($A$157:A202,A202)</f>
        <v>4</v>
      </c>
      <c r="X202" t="s">
        <v>2227</v>
      </c>
      <c r="Y202">
        <f t="shared" si="9"/>
        <v>191</v>
      </c>
      <c r="Z202" t="str">
        <f t="shared" si="10"/>
        <v>C41-4</v>
      </c>
      <c r="AB202">
        <v>234</v>
      </c>
      <c r="AC202" t="s">
        <v>2164</v>
      </c>
    </row>
    <row r="203" spans="1:29">
      <c r="A203" s="7" t="s">
        <v>260</v>
      </c>
      <c r="B203" s="7" t="str">
        <f>Texte!B214</f>
        <v>Solivage, chape sèche et faux-plafond (lignum)</v>
      </c>
      <c r="C203" s="7" t="s">
        <v>508</v>
      </c>
      <c r="D203" s="77" t="s">
        <v>518</v>
      </c>
      <c r="E203" s="7" t="s">
        <v>242</v>
      </c>
      <c r="F203" s="7" t="s">
        <v>30</v>
      </c>
      <c r="G203" s="7">
        <v>60</v>
      </c>
      <c r="H203" s="43">
        <v>4.5648148148148149</v>
      </c>
      <c r="I203" s="43">
        <v>0</v>
      </c>
      <c r="J203" s="43">
        <v>0</v>
      </c>
      <c r="K203" s="47">
        <v>0.97349999999999992</v>
      </c>
      <c r="L203" s="47"/>
      <c r="M203" s="47"/>
      <c r="N203" s="50">
        <v>1332.65</v>
      </c>
      <c r="O203" s="50"/>
      <c r="P203" s="50"/>
      <c r="Q203" s="7" t="s">
        <v>19</v>
      </c>
      <c r="R203" s="7" t="s">
        <v>267</v>
      </c>
      <c r="S203" s="8" t="s">
        <v>30</v>
      </c>
      <c r="T203" s="8" t="s">
        <v>341</v>
      </c>
      <c r="U203" s="7" t="s">
        <v>652</v>
      </c>
      <c r="W203">
        <f>COUNTIF($A$157:A203,A203)</f>
        <v>5</v>
      </c>
      <c r="X203" t="s">
        <v>2228</v>
      </c>
      <c r="Y203">
        <f t="shared" si="9"/>
        <v>192</v>
      </c>
      <c r="Z203" t="str">
        <f t="shared" si="10"/>
        <v>C41-5</v>
      </c>
      <c r="AB203">
        <v>235</v>
      </c>
      <c r="AC203" t="s">
        <v>2165</v>
      </c>
    </row>
    <row r="204" spans="1:29">
      <c r="A204" s="7" t="s">
        <v>260</v>
      </c>
      <c r="B204" s="7" t="str">
        <f>Texte!B215</f>
        <v>Dalle en béton 22 cm avec isolation thermique EPS intérieure, isolation contre les bruits de choc, chape flottante (CC)</v>
      </c>
      <c r="C204" s="7" t="s">
        <v>543</v>
      </c>
      <c r="D204" s="77" t="s">
        <v>544</v>
      </c>
      <c r="E204" s="7" t="s">
        <v>242</v>
      </c>
      <c r="F204" s="7" t="s">
        <v>30</v>
      </c>
      <c r="G204" s="42">
        <f>(I204+J204)/H204</f>
        <v>39.655571635311148</v>
      </c>
      <c r="H204" s="43">
        <v>9.5972222222222214</v>
      </c>
      <c r="I204" s="43">
        <v>344.66666666666663</v>
      </c>
      <c r="J204" s="43">
        <v>35.916666666666671</v>
      </c>
      <c r="K204" s="47">
        <v>3.22</v>
      </c>
      <c r="L204" s="47">
        <v>114.56</v>
      </c>
      <c r="M204" s="47">
        <v>20.59</v>
      </c>
      <c r="N204" s="50">
        <v>3345</v>
      </c>
      <c r="O204" s="50">
        <v>127506</v>
      </c>
      <c r="P204" s="50">
        <v>26097</v>
      </c>
      <c r="Q204" s="7" t="s">
        <v>20</v>
      </c>
      <c r="R204" s="7" t="s">
        <v>267</v>
      </c>
      <c r="S204" s="8" t="s">
        <v>30</v>
      </c>
      <c r="T204" s="8" t="s">
        <v>341</v>
      </c>
      <c r="U204" s="7" t="s">
        <v>651</v>
      </c>
      <c r="W204">
        <f>COUNTIF($A$157:A204,A204)</f>
        <v>6</v>
      </c>
      <c r="X204" t="s">
        <v>2229</v>
      </c>
      <c r="Y204">
        <f t="shared" si="9"/>
        <v>193</v>
      </c>
      <c r="Z204" t="str">
        <f t="shared" si="10"/>
        <v>C41-6</v>
      </c>
      <c r="AB204">
        <v>236</v>
      </c>
      <c r="AC204" t="s">
        <v>2166</v>
      </c>
    </row>
    <row r="205" spans="1:29">
      <c r="A205" s="7" t="s">
        <v>260</v>
      </c>
      <c r="B205" s="7" t="str">
        <f>Texte!B216</f>
        <v>Dalle en béton 22 cm avec isolation thermique PUR intérieure, chape flottante (CC)</v>
      </c>
      <c r="C205" s="7" t="s">
        <v>541</v>
      </c>
      <c r="D205" s="77" t="s">
        <v>542</v>
      </c>
      <c r="E205" s="7" t="s">
        <v>242</v>
      </c>
      <c r="F205" s="7" t="s">
        <v>30</v>
      </c>
      <c r="G205" s="42">
        <f>(I205+J205)/H205</f>
        <v>39.899079845651535</v>
      </c>
      <c r="H205" s="43">
        <v>9.3583333333333325</v>
      </c>
      <c r="I205" s="43">
        <v>335.19444444444446</v>
      </c>
      <c r="J205" s="43">
        <v>38.194444444444443</v>
      </c>
      <c r="K205" s="47">
        <v>3.29</v>
      </c>
      <c r="L205" s="47">
        <v>117.74</v>
      </c>
      <c r="M205" s="47">
        <v>19.38</v>
      </c>
      <c r="N205" s="50">
        <v>3576</v>
      </c>
      <c r="O205" s="50">
        <v>133795</v>
      </c>
      <c r="P205" s="50">
        <v>26727</v>
      </c>
      <c r="Q205" s="7" t="s">
        <v>20</v>
      </c>
      <c r="R205" s="7" t="s">
        <v>267</v>
      </c>
      <c r="S205" s="8" t="s">
        <v>30</v>
      </c>
      <c r="T205" s="8" t="s">
        <v>341</v>
      </c>
      <c r="U205" s="7" t="s">
        <v>651</v>
      </c>
      <c r="W205">
        <f>COUNTIF($A$157:A205,A205)</f>
        <v>7</v>
      </c>
      <c r="X205" t="s">
        <v>2230</v>
      </c>
      <c r="Y205">
        <f t="shared" si="9"/>
        <v>194</v>
      </c>
      <c r="Z205" t="str">
        <f t="shared" si="10"/>
        <v>C41-7</v>
      </c>
      <c r="AB205">
        <v>237</v>
      </c>
      <c r="AC205" t="s">
        <v>2167</v>
      </c>
    </row>
    <row r="206" spans="1:29">
      <c r="A206" s="7" t="s">
        <v>260</v>
      </c>
      <c r="B206" s="7" t="str">
        <f>Texte!B217</f>
        <v>Dalle en béton 22 cm avec isolation contre les bruits de choc, chape flottante (CC)</v>
      </c>
      <c r="C206" s="7" t="s">
        <v>546</v>
      </c>
      <c r="D206" s="77" t="s">
        <v>545</v>
      </c>
      <c r="E206" s="7" t="s">
        <v>242</v>
      </c>
      <c r="F206" s="7" t="s">
        <v>30</v>
      </c>
      <c r="G206" s="42">
        <f>(I206+J206)/H206</f>
        <v>42.734912146676855</v>
      </c>
      <c r="H206" s="43">
        <v>7.2722222222222221</v>
      </c>
      <c r="I206" s="43">
        <v>274.08333333333331</v>
      </c>
      <c r="J206" s="43">
        <v>36.694444444444443</v>
      </c>
      <c r="K206" s="47">
        <v>2.71</v>
      </c>
      <c r="L206" s="47">
        <v>107.33</v>
      </c>
      <c r="M206" s="47">
        <v>12.42</v>
      </c>
      <c r="N206" s="50">
        <v>2997</v>
      </c>
      <c r="O206" s="50">
        <v>121874</v>
      </c>
      <c r="P206" s="50">
        <v>21272</v>
      </c>
      <c r="Q206" s="7" t="s">
        <v>19</v>
      </c>
      <c r="R206" s="7" t="s">
        <v>267</v>
      </c>
      <c r="S206" s="8" t="s">
        <v>30</v>
      </c>
      <c r="T206" s="8" t="s">
        <v>341</v>
      </c>
      <c r="U206" s="7" t="s">
        <v>651</v>
      </c>
      <c r="W206">
        <f>COUNTIF($A$157:A206,A206)</f>
        <v>8</v>
      </c>
      <c r="X206" t="s">
        <v>2231</v>
      </c>
      <c r="Y206">
        <f t="shared" si="9"/>
        <v>195</v>
      </c>
      <c r="Z206" t="str">
        <f t="shared" si="10"/>
        <v>C41-8</v>
      </c>
      <c r="AB206">
        <v>238</v>
      </c>
      <c r="AC206" t="s">
        <v>2168</v>
      </c>
    </row>
    <row r="207" spans="1:29">
      <c r="A207" s="7" t="s">
        <v>260</v>
      </c>
      <c r="B207" s="7" t="str">
        <f>Texte!B218</f>
        <v>Dalle en béton 22 cm avec isolation thermique extérieure crépie (CC)</v>
      </c>
      <c r="C207" s="7" t="s">
        <v>539</v>
      </c>
      <c r="D207" s="77" t="s">
        <v>540</v>
      </c>
      <c r="E207" s="7" t="s">
        <v>242</v>
      </c>
      <c r="F207" s="7" t="s">
        <v>30</v>
      </c>
      <c r="G207" s="42">
        <f>(I207+J207)/H207</f>
        <v>38.809272918861964</v>
      </c>
      <c r="H207" s="43">
        <v>10.544444444444444</v>
      </c>
      <c r="I207" s="43">
        <v>371.91666666666669</v>
      </c>
      <c r="J207" s="43">
        <v>37.305555555555557</v>
      </c>
      <c r="K207" s="47">
        <v>3.47</v>
      </c>
      <c r="L207" s="47">
        <v>125.9</v>
      </c>
      <c r="M207" s="47">
        <v>16.54</v>
      </c>
      <c r="N207" s="50">
        <v>3709</v>
      </c>
      <c r="O207" s="50">
        <v>140335</v>
      </c>
      <c r="P207" s="50">
        <v>24173</v>
      </c>
      <c r="Q207" s="7" t="s">
        <v>20</v>
      </c>
      <c r="R207" s="7" t="s">
        <v>267</v>
      </c>
      <c r="S207" s="8" t="s">
        <v>30</v>
      </c>
      <c r="T207" s="8" t="s">
        <v>341</v>
      </c>
      <c r="U207" s="7" t="s">
        <v>651</v>
      </c>
      <c r="W207">
        <f>COUNTIF($A$157:A207,A207)</f>
        <v>9</v>
      </c>
      <c r="X207" t="s">
        <v>2232</v>
      </c>
      <c r="Y207">
        <f t="shared" si="9"/>
        <v>196</v>
      </c>
      <c r="Z207" t="str">
        <f t="shared" si="10"/>
        <v>C41-9</v>
      </c>
      <c r="AB207">
        <v>239</v>
      </c>
      <c r="AC207" t="s">
        <v>2169</v>
      </c>
    </row>
    <row r="208" spans="1:29">
      <c r="A208" s="7" t="s">
        <v>260</v>
      </c>
      <c r="B208" s="7" t="str">
        <f>Texte!B219</f>
        <v>Plancher en bois massif (BSH) 16cm, isolation contre les bruits de choc, chape flottante (CC)</v>
      </c>
      <c r="C208" s="7" t="s">
        <v>549</v>
      </c>
      <c r="D208" s="77" t="s">
        <v>550</v>
      </c>
      <c r="E208" s="7" t="s">
        <v>242</v>
      </c>
      <c r="F208" s="7" t="s">
        <v>30</v>
      </c>
      <c r="G208" s="42">
        <f>(I208+J208)/H208</f>
        <v>46.858071505958819</v>
      </c>
      <c r="H208" s="43">
        <v>5.1277777777777782</v>
      </c>
      <c r="I208" s="43">
        <v>228.9722222222222</v>
      </c>
      <c r="J208" s="43">
        <v>11.305555555555555</v>
      </c>
      <c r="K208" s="47">
        <v>0.99</v>
      </c>
      <c r="L208" s="47">
        <v>39.86</v>
      </c>
      <c r="M208" s="47">
        <v>10.1</v>
      </c>
      <c r="N208" s="50">
        <v>2054</v>
      </c>
      <c r="O208" s="50">
        <v>69584</v>
      </c>
      <c r="P208" s="50">
        <v>36903</v>
      </c>
      <c r="Q208" s="7" t="s">
        <v>19</v>
      </c>
      <c r="R208" s="7" t="s">
        <v>267</v>
      </c>
      <c r="S208" s="8" t="s">
        <v>30</v>
      </c>
      <c r="T208" s="8" t="s">
        <v>341</v>
      </c>
      <c r="U208" s="7" t="s">
        <v>651</v>
      </c>
      <c r="W208">
        <f>COUNTIF($A$157:A208,A208)</f>
        <v>10</v>
      </c>
      <c r="X208" t="s">
        <v>2233</v>
      </c>
      <c r="Y208">
        <f t="shared" si="9"/>
        <v>197</v>
      </c>
      <c r="Z208" t="str">
        <f t="shared" si="10"/>
        <v>C41-10</v>
      </c>
      <c r="AB208">
        <v>240</v>
      </c>
      <c r="AC208" t="s">
        <v>2170</v>
      </c>
    </row>
    <row r="209" spans="1:29">
      <c r="A209" s="7" t="s">
        <v>260</v>
      </c>
      <c r="B209" s="7" t="str">
        <f>Texte!B220</f>
        <v>Plancher en éléments à caissons, chape humide et faux-plafond (lignum)</v>
      </c>
      <c r="C209" s="7" t="s">
        <v>511</v>
      </c>
      <c r="D209" s="77" t="s">
        <v>521</v>
      </c>
      <c r="E209" s="7" t="s">
        <v>242</v>
      </c>
      <c r="F209" s="7" t="s">
        <v>30</v>
      </c>
      <c r="G209" s="7">
        <v>60</v>
      </c>
      <c r="H209" s="43">
        <v>3.4722222222222223</v>
      </c>
      <c r="I209" s="43">
        <v>0</v>
      </c>
      <c r="J209" s="43">
        <v>0</v>
      </c>
      <c r="K209" s="47">
        <v>0.92500000000000004</v>
      </c>
      <c r="L209" s="47"/>
      <c r="M209" s="47"/>
      <c r="N209" s="50">
        <v>1330.7</v>
      </c>
      <c r="O209" s="50"/>
      <c r="P209" s="50"/>
      <c r="Q209" s="7" t="s">
        <v>19</v>
      </c>
      <c r="R209" s="7" t="s">
        <v>267</v>
      </c>
      <c r="S209" s="8" t="s">
        <v>30</v>
      </c>
      <c r="T209" s="8" t="s">
        <v>341</v>
      </c>
      <c r="U209" s="7" t="s">
        <v>652</v>
      </c>
      <c r="W209">
        <f>COUNTIF($A$157:A209,A209)</f>
        <v>11</v>
      </c>
      <c r="X209" t="s">
        <v>2234</v>
      </c>
      <c r="Y209">
        <f t="shared" si="9"/>
        <v>198</v>
      </c>
      <c r="Z209" t="str">
        <f t="shared" si="10"/>
        <v>C41-11</v>
      </c>
      <c r="AB209">
        <v>241</v>
      </c>
      <c r="AC209" t="s">
        <v>2171</v>
      </c>
    </row>
    <row r="210" spans="1:29">
      <c r="A210" s="7" t="s">
        <v>260</v>
      </c>
      <c r="B210" s="7" t="str">
        <f>Texte!B221</f>
        <v>Plancher en éléments à caissons, chape humide, pas de faux-plafond (lignum)</v>
      </c>
      <c r="C210" s="7" t="s">
        <v>510</v>
      </c>
      <c r="D210" s="77" t="s">
        <v>520</v>
      </c>
      <c r="E210" s="7" t="s">
        <v>242</v>
      </c>
      <c r="F210" s="7" t="s">
        <v>30</v>
      </c>
      <c r="G210" s="7">
        <v>60</v>
      </c>
      <c r="H210" s="43">
        <v>2.8657407407407405</v>
      </c>
      <c r="I210" s="43">
        <v>0</v>
      </c>
      <c r="J210" s="43">
        <v>0</v>
      </c>
      <c r="K210" s="47">
        <v>0.57266666666666666</v>
      </c>
      <c r="L210" s="47"/>
      <c r="M210" s="47"/>
      <c r="N210" s="50">
        <v>1117.7</v>
      </c>
      <c r="O210" s="50"/>
      <c r="P210" s="50"/>
      <c r="Q210" s="7" t="s">
        <v>19</v>
      </c>
      <c r="R210" s="7" t="s">
        <v>267</v>
      </c>
      <c r="S210" s="8" t="s">
        <v>30</v>
      </c>
      <c r="T210" s="8" t="s">
        <v>341</v>
      </c>
      <c r="U210" s="7" t="s">
        <v>652</v>
      </c>
      <c r="W210">
        <f>COUNTIF($A$157:A210,A210)</f>
        <v>12</v>
      </c>
      <c r="X210" t="s">
        <v>2235</v>
      </c>
      <c r="Y210">
        <f t="shared" si="9"/>
        <v>199</v>
      </c>
      <c r="Z210" t="str">
        <f t="shared" si="10"/>
        <v>C41-12</v>
      </c>
      <c r="AB210">
        <v>242</v>
      </c>
      <c r="AC210" t="s">
        <v>2172</v>
      </c>
    </row>
    <row r="211" spans="1:29">
      <c r="A211" s="7" t="s">
        <v>260</v>
      </c>
      <c r="B211" s="7" t="str">
        <f>Texte!B222</f>
        <v>Plancher à poutres de bois avec isolation ininterrompue en laine de pierre 8cm, revêtement côté extérieur, panneau de particules côté intérieur (CC)</v>
      </c>
      <c r="C211" s="7" t="s">
        <v>551</v>
      </c>
      <c r="D211" s="77" t="s">
        <v>552</v>
      </c>
      <c r="E211" s="7" t="s">
        <v>242</v>
      </c>
      <c r="F211" s="7" t="s">
        <v>30</v>
      </c>
      <c r="G211" s="42">
        <f>(I211+J211)/H211</f>
        <v>31.213930348258703</v>
      </c>
      <c r="H211" s="43">
        <v>2.791666666666667</v>
      </c>
      <c r="I211" s="43">
        <v>85.305555555555557</v>
      </c>
      <c r="J211" s="43">
        <v>1.8333333333333333</v>
      </c>
      <c r="K211" s="47">
        <v>0.6</v>
      </c>
      <c r="L211" s="47">
        <v>15.98</v>
      </c>
      <c r="M211" s="47">
        <v>2.48</v>
      </c>
      <c r="N211" s="50">
        <v>1085</v>
      </c>
      <c r="O211" s="50">
        <v>20481</v>
      </c>
      <c r="P211" s="50">
        <v>16038</v>
      </c>
      <c r="Q211" s="7" t="s">
        <v>20</v>
      </c>
      <c r="R211" s="7" t="s">
        <v>267</v>
      </c>
      <c r="S211" s="8" t="s">
        <v>30</v>
      </c>
      <c r="T211" s="8" t="s">
        <v>341</v>
      </c>
      <c r="U211" s="7" t="s">
        <v>651</v>
      </c>
      <c r="W211">
        <f>COUNTIF($A$157:A211,A211)</f>
        <v>13</v>
      </c>
      <c r="X211" t="s">
        <v>2236</v>
      </c>
      <c r="Y211">
        <f t="shared" si="9"/>
        <v>200</v>
      </c>
      <c r="Z211" t="str">
        <f t="shared" si="10"/>
        <v>C41-13</v>
      </c>
      <c r="AB211">
        <v>243</v>
      </c>
      <c r="AC211" t="s">
        <v>2186</v>
      </c>
    </row>
    <row r="212" spans="1:29">
      <c r="A212" s="7" t="s">
        <v>260</v>
      </c>
      <c r="B212" s="7" t="str">
        <f>Texte!B223</f>
        <v>Dalle mixte bois-béton, chape humide, pas de faux-plafond (lignum)</v>
      </c>
      <c r="C212" s="7" t="s">
        <v>515</v>
      </c>
      <c r="D212" s="77" t="s">
        <v>525</v>
      </c>
      <c r="E212" s="7" t="s">
        <v>242</v>
      </c>
      <c r="F212" s="7" t="s">
        <v>30</v>
      </c>
      <c r="G212" s="7">
        <v>60</v>
      </c>
      <c r="H212" s="43">
        <v>2.9027777777777777</v>
      </c>
      <c r="I212" s="43">
        <v>0</v>
      </c>
      <c r="J212" s="43">
        <v>0</v>
      </c>
      <c r="K212" s="47">
        <v>0.85249999999999992</v>
      </c>
      <c r="L212" s="47"/>
      <c r="M212" s="47"/>
      <c r="N212" s="50">
        <v>1554.8</v>
      </c>
      <c r="O212" s="50"/>
      <c r="P212" s="50"/>
      <c r="Q212" s="7" t="s">
        <v>19</v>
      </c>
      <c r="R212" s="7" t="s">
        <v>267</v>
      </c>
      <c r="S212" s="8" t="s">
        <v>30</v>
      </c>
      <c r="T212" s="8" t="s">
        <v>341</v>
      </c>
      <c r="U212" s="7" t="s">
        <v>652</v>
      </c>
      <c r="W212">
        <f>COUNTIF($A$157:A212,A212)</f>
        <v>14</v>
      </c>
      <c r="X212" t="s">
        <v>2237</v>
      </c>
      <c r="Y212">
        <f t="shared" si="9"/>
        <v>201</v>
      </c>
      <c r="Z212" t="str">
        <f t="shared" si="10"/>
        <v>C41-14</v>
      </c>
      <c r="AB212">
        <v>244</v>
      </c>
      <c r="AC212" t="s">
        <v>2187</v>
      </c>
    </row>
    <row r="213" spans="1:29">
      <c r="A213" s="7" t="s">
        <v>260</v>
      </c>
      <c r="B213" s="7" t="str">
        <f>Texte!B224</f>
        <v>Plancher à caissons en bois avec isolation thermique intégrée, isolation contre les bruits de choc, panneau de particules (CC)</v>
      </c>
      <c r="C213" s="7" t="s">
        <v>553</v>
      </c>
      <c r="D213" s="77" t="s">
        <v>554</v>
      </c>
      <c r="E213" s="7" t="s">
        <v>242</v>
      </c>
      <c r="F213" s="7" t="s">
        <v>30</v>
      </c>
      <c r="G213" s="42">
        <f>(I213+J213)/H213</f>
        <v>45.833807626636307</v>
      </c>
      <c r="H213" s="43">
        <v>4.8805555555555555</v>
      </c>
      <c r="I213" s="43">
        <v>220.66666666666666</v>
      </c>
      <c r="J213" s="43">
        <v>3.0277777777777777</v>
      </c>
      <c r="K213" s="47">
        <v>0.97</v>
      </c>
      <c r="L213" s="47">
        <v>39.35</v>
      </c>
      <c r="M213" s="47">
        <v>7.08</v>
      </c>
      <c r="N213" s="50">
        <v>1732</v>
      </c>
      <c r="O213" s="50">
        <v>58774</v>
      </c>
      <c r="P213" s="50">
        <v>26888</v>
      </c>
      <c r="Q213" s="7" t="s">
        <v>20</v>
      </c>
      <c r="R213" s="7" t="s">
        <v>267</v>
      </c>
      <c r="S213" s="8" t="s">
        <v>30</v>
      </c>
      <c r="T213" s="8" t="s">
        <v>341</v>
      </c>
      <c r="U213" s="7" t="s">
        <v>651</v>
      </c>
      <c r="W213">
        <f>COUNTIF($A$157:A213,A213)</f>
        <v>15</v>
      </c>
      <c r="X213" t="s">
        <v>2238</v>
      </c>
      <c r="Y213">
        <f t="shared" si="9"/>
        <v>202</v>
      </c>
      <c r="Z213" t="str">
        <f t="shared" si="10"/>
        <v>C41-15</v>
      </c>
      <c r="AB213">
        <v>245</v>
      </c>
      <c r="AC213" t="s">
        <v>2188</v>
      </c>
    </row>
    <row r="214" spans="1:29">
      <c r="A214" s="8" t="s">
        <v>260</v>
      </c>
      <c r="B214" s="8" t="str">
        <f>Texte!B339</f>
        <v>Isolation thermique à l’intérieur sur plancher à poutres de bois isolé contre non chauffé, 16cm laine de pierre (CC)</v>
      </c>
      <c r="C214" s="8" t="s">
        <v>459</v>
      </c>
      <c r="D214" s="80" t="s">
        <v>470</v>
      </c>
      <c r="E214" s="8" t="s">
        <v>242</v>
      </c>
      <c r="F214" s="8" t="s">
        <v>30</v>
      </c>
      <c r="G214" s="35">
        <v>29.98740310077519</v>
      </c>
      <c r="H214" s="35">
        <v>2.8666666666666667</v>
      </c>
      <c r="I214" s="35">
        <v>84.569444444444443</v>
      </c>
      <c r="J214" s="35">
        <v>1.3944444444444444</v>
      </c>
      <c r="K214" s="8">
        <v>0.64</v>
      </c>
      <c r="L214" s="8">
        <v>16.72</v>
      </c>
      <c r="M214" s="8">
        <v>2.42</v>
      </c>
      <c r="N214" s="8">
        <v>859</v>
      </c>
      <c r="O214" s="8">
        <v>17578</v>
      </c>
      <c r="P214" s="8">
        <v>8179</v>
      </c>
      <c r="Q214" s="8" t="s">
        <v>20</v>
      </c>
      <c r="R214" s="8"/>
      <c r="S214" s="8" t="s">
        <v>30</v>
      </c>
      <c r="T214" s="8" t="s">
        <v>341</v>
      </c>
      <c r="U214" s="7" t="s">
        <v>651</v>
      </c>
      <c r="W214">
        <f>COUNTIF($A$157:A214,A214)</f>
        <v>16</v>
      </c>
      <c r="X214" t="s">
        <v>2239</v>
      </c>
      <c r="Y214">
        <f t="shared" si="9"/>
        <v>317</v>
      </c>
      <c r="Z214" t="str">
        <f t="shared" si="10"/>
        <v>C41-16</v>
      </c>
      <c r="AB214">
        <v>246</v>
      </c>
      <c r="AC214" t="s">
        <v>2189</v>
      </c>
    </row>
    <row r="215" spans="1:29">
      <c r="A215" s="8" t="s">
        <v>260</v>
      </c>
      <c r="B215" s="8" t="str">
        <f>Texte!B336</f>
        <v>Isolation thermique à l’intérieur revêtue sous dalle en béton contre non chauffé (CC)</v>
      </c>
      <c r="C215" s="8" t="s">
        <v>453</v>
      </c>
      <c r="D215" s="80" t="s">
        <v>467</v>
      </c>
      <c r="E215" s="8" t="s">
        <v>242</v>
      </c>
      <c r="F215" s="8" t="s">
        <v>30</v>
      </c>
      <c r="G215" s="35">
        <v>29.987012987012989</v>
      </c>
      <c r="H215" s="35">
        <v>2.1388888888888888</v>
      </c>
      <c r="I215" s="35">
        <v>63.547222222222224</v>
      </c>
      <c r="J215" s="35">
        <v>0.59166666666666667</v>
      </c>
      <c r="K215" s="8">
        <v>0.28000000000000003</v>
      </c>
      <c r="L215" s="8">
        <v>7.81</v>
      </c>
      <c r="M215" s="8">
        <v>0.6</v>
      </c>
      <c r="N215" s="8">
        <v>524</v>
      </c>
      <c r="O215" s="8">
        <v>11042</v>
      </c>
      <c r="P215" s="8">
        <v>4680</v>
      </c>
      <c r="Q215" s="8" t="s">
        <v>20</v>
      </c>
      <c r="R215" s="8"/>
      <c r="S215" s="8" t="s">
        <v>30</v>
      </c>
      <c r="T215" s="8" t="s">
        <v>341</v>
      </c>
      <c r="U215" s="7" t="s">
        <v>651</v>
      </c>
      <c r="W215">
        <f>COUNTIF($A$157:A215,A215)</f>
        <v>17</v>
      </c>
      <c r="X215" t="s">
        <v>2240</v>
      </c>
      <c r="Y215">
        <f t="shared" si="9"/>
        <v>314</v>
      </c>
      <c r="Z215" t="str">
        <f t="shared" si="10"/>
        <v>C41-17</v>
      </c>
      <c r="AB215">
        <v>247</v>
      </c>
      <c r="AC215" t="s">
        <v>2190</v>
      </c>
    </row>
    <row r="216" spans="1:29">
      <c r="A216" s="8" t="s">
        <v>260</v>
      </c>
      <c r="B216" s="8" t="str">
        <f>Texte!B338</f>
        <v>Isolation thermique à l’intérieur sous plancher à poutres de bois avec remplissage de scories contre non chauffé (CC)</v>
      </c>
      <c r="C216" s="8" t="s">
        <v>457</v>
      </c>
      <c r="D216" s="80" t="s">
        <v>469</v>
      </c>
      <c r="E216" s="8" t="s">
        <v>242</v>
      </c>
      <c r="F216" s="8" t="s">
        <v>30</v>
      </c>
      <c r="G216" s="35">
        <v>30.016877637130804</v>
      </c>
      <c r="H216" s="35">
        <v>1.9750000000000001</v>
      </c>
      <c r="I216" s="35">
        <v>58.208333333333336</v>
      </c>
      <c r="J216" s="35">
        <v>1.075</v>
      </c>
      <c r="K216" s="8">
        <v>0.45</v>
      </c>
      <c r="L216" s="8">
        <v>12.87</v>
      </c>
      <c r="M216" s="8">
        <v>0.67</v>
      </c>
      <c r="N216" s="8">
        <v>686</v>
      </c>
      <c r="O216" s="8">
        <v>15536</v>
      </c>
      <c r="P216" s="8">
        <v>5056</v>
      </c>
      <c r="Q216" s="8" t="s">
        <v>20</v>
      </c>
      <c r="R216" s="8"/>
      <c r="S216" s="8" t="s">
        <v>30</v>
      </c>
      <c r="T216" s="8" t="s">
        <v>341</v>
      </c>
      <c r="U216" s="7" t="s">
        <v>651</v>
      </c>
      <c r="W216">
        <f>COUNTIF($A$157:A216,A216)</f>
        <v>18</v>
      </c>
      <c r="X216" t="s">
        <v>2241</v>
      </c>
      <c r="Y216">
        <f t="shared" si="9"/>
        <v>316</v>
      </c>
      <c r="Z216" t="str">
        <f t="shared" si="10"/>
        <v>C41-18</v>
      </c>
      <c r="AB216">
        <v>248</v>
      </c>
      <c r="AC216" t="s">
        <v>2053</v>
      </c>
    </row>
    <row r="217" spans="1:29">
      <c r="A217" s="8" t="s">
        <v>260</v>
      </c>
      <c r="B217" s="8" t="str">
        <f>Texte!B337</f>
        <v>Isolation thermique du noyau plancher à poutres contre non chauffé (CC)</v>
      </c>
      <c r="C217" s="8" t="s">
        <v>456</v>
      </c>
      <c r="D217" s="80" t="s">
        <v>468</v>
      </c>
      <c r="E217" s="8" t="s">
        <v>242</v>
      </c>
      <c r="F217" s="8" t="s">
        <v>30</v>
      </c>
      <c r="G217" s="35">
        <v>29.981351981351981</v>
      </c>
      <c r="H217" s="35">
        <v>1.1916666666666667</v>
      </c>
      <c r="I217" s="35">
        <v>35.038888888888891</v>
      </c>
      <c r="J217" s="35">
        <v>0.68888888888888888</v>
      </c>
      <c r="K217" s="8">
        <v>0.26</v>
      </c>
      <c r="L217" s="8">
        <v>7.25</v>
      </c>
      <c r="M217" s="8">
        <v>0.61</v>
      </c>
      <c r="N217" s="8">
        <v>469</v>
      </c>
      <c r="O217" s="8">
        <v>9384</v>
      </c>
      <c r="P217" s="8">
        <v>4682</v>
      </c>
      <c r="Q217" s="8" t="s">
        <v>20</v>
      </c>
      <c r="R217" s="8"/>
      <c r="S217" s="8" t="s">
        <v>30</v>
      </c>
      <c r="T217" s="8" t="s">
        <v>341</v>
      </c>
      <c r="U217" s="7" t="s">
        <v>651</v>
      </c>
      <c r="W217">
        <f>COUNTIF($A$157:A217,A217)</f>
        <v>19</v>
      </c>
      <c r="X217" t="s">
        <v>2242</v>
      </c>
      <c r="Y217">
        <f t="shared" si="9"/>
        <v>315</v>
      </c>
      <c r="Z217" t="str">
        <f t="shared" si="10"/>
        <v>C41-19</v>
      </c>
      <c r="AB217">
        <v>249</v>
      </c>
      <c r="AC217" t="s">
        <v>2055</v>
      </c>
    </row>
    <row r="218" spans="1:29">
      <c r="A218" s="7" t="s">
        <v>260</v>
      </c>
      <c r="B218" s="7" t="str">
        <f>Texte!B225</f>
        <v>Plancher en bois massif, chape humide et faux-plafond (lignum)</v>
      </c>
      <c r="C218" s="7" t="s">
        <v>514</v>
      </c>
      <c r="D218" s="77" t="s">
        <v>524</v>
      </c>
      <c r="E218" s="7" t="s">
        <v>242</v>
      </c>
      <c r="F218" s="7" t="s">
        <v>30</v>
      </c>
      <c r="G218" s="7">
        <v>60</v>
      </c>
      <c r="H218" s="43">
        <v>5.2268518518518521</v>
      </c>
      <c r="I218" s="43">
        <v>0</v>
      </c>
      <c r="J218" s="43">
        <v>0</v>
      </c>
      <c r="K218" s="47">
        <v>1.2495000000000001</v>
      </c>
      <c r="L218" s="47"/>
      <c r="M218" s="47"/>
      <c r="N218" s="50">
        <v>2206.4833333333331</v>
      </c>
      <c r="O218" s="50"/>
      <c r="P218" s="50"/>
      <c r="Q218" s="7" t="s">
        <v>19</v>
      </c>
      <c r="R218" s="7" t="s">
        <v>267</v>
      </c>
      <c r="S218" s="8" t="s">
        <v>30</v>
      </c>
      <c r="T218" s="8" t="s">
        <v>341</v>
      </c>
      <c r="U218" s="7" t="s">
        <v>652</v>
      </c>
      <c r="W218">
        <f>COUNTIF($A$157:A218,A218)</f>
        <v>20</v>
      </c>
      <c r="X218" t="s">
        <v>2243</v>
      </c>
      <c r="Y218">
        <f t="shared" si="9"/>
        <v>203</v>
      </c>
      <c r="Z218" t="str">
        <f t="shared" si="10"/>
        <v>C41-20</v>
      </c>
      <c r="AB218">
        <v>250</v>
      </c>
      <c r="AC218" t="s">
        <v>2054</v>
      </c>
    </row>
    <row r="219" spans="1:29">
      <c r="A219" s="7" t="s">
        <v>260</v>
      </c>
      <c r="B219" s="7" t="str">
        <f>Texte!B226</f>
        <v>Plancher en bois massif, chape humide, pas de faux-plafond (lignum)</v>
      </c>
      <c r="C219" s="7" t="s">
        <v>512</v>
      </c>
      <c r="D219" s="77" t="s">
        <v>522</v>
      </c>
      <c r="E219" s="7" t="s">
        <v>242</v>
      </c>
      <c r="F219" s="7" t="s">
        <v>30</v>
      </c>
      <c r="G219" s="7">
        <v>60</v>
      </c>
      <c r="H219" s="43">
        <v>2.4953703703703702</v>
      </c>
      <c r="I219" s="43">
        <v>0</v>
      </c>
      <c r="J219" s="43">
        <v>0</v>
      </c>
      <c r="K219" s="47">
        <v>0.5116666666666666</v>
      </c>
      <c r="L219" s="47"/>
      <c r="M219" s="47"/>
      <c r="N219" s="50">
        <v>1336.6833333333334</v>
      </c>
      <c r="O219" s="50"/>
      <c r="P219" s="50"/>
      <c r="Q219" s="7" t="s">
        <v>19</v>
      </c>
      <c r="R219" s="7" t="s">
        <v>267</v>
      </c>
      <c r="S219" s="8" t="s">
        <v>30</v>
      </c>
      <c r="T219" s="8" t="s">
        <v>341</v>
      </c>
      <c r="U219" s="7" t="s">
        <v>652</v>
      </c>
      <c r="W219">
        <f>COUNTIF($A$157:A219,A219)</f>
        <v>21</v>
      </c>
      <c r="X219" t="s">
        <v>2244</v>
      </c>
      <c r="Y219">
        <f t="shared" si="9"/>
        <v>204</v>
      </c>
      <c r="Z219" t="str">
        <f t="shared" si="10"/>
        <v>C41-21</v>
      </c>
      <c r="AB219">
        <v>251</v>
      </c>
      <c r="AC219" t="s">
        <v>2056</v>
      </c>
    </row>
    <row r="220" spans="1:29">
      <c r="A220" s="7" t="s">
        <v>260</v>
      </c>
      <c r="B220" s="7" t="str">
        <f>Texte!B227</f>
        <v>Plancher en bois massif, chape sèche et faux-plafond (lignum)</v>
      </c>
      <c r="C220" s="7" t="s">
        <v>513</v>
      </c>
      <c r="D220" s="77" t="s">
        <v>523</v>
      </c>
      <c r="E220" s="7" t="s">
        <v>242</v>
      </c>
      <c r="F220" s="7" t="s">
        <v>30</v>
      </c>
      <c r="G220" s="7">
        <v>60</v>
      </c>
      <c r="H220" s="43">
        <v>6.2546296296296289</v>
      </c>
      <c r="I220" s="43">
        <v>0</v>
      </c>
      <c r="J220" s="43">
        <v>0</v>
      </c>
      <c r="K220" s="47">
        <v>1.294</v>
      </c>
      <c r="L220" s="47"/>
      <c r="M220" s="47"/>
      <c r="N220" s="50">
        <v>2153.4666666666667</v>
      </c>
      <c r="O220" s="50"/>
      <c r="P220" s="50"/>
      <c r="Q220" s="7" t="s">
        <v>19</v>
      </c>
      <c r="R220" s="7" t="s">
        <v>267</v>
      </c>
      <c r="S220" s="8" t="s">
        <v>30</v>
      </c>
      <c r="T220" s="8" t="s">
        <v>341</v>
      </c>
      <c r="U220" s="7" t="s">
        <v>652</v>
      </c>
      <c r="W220">
        <f>COUNTIF($A$157:A220,A220)</f>
        <v>22</v>
      </c>
      <c r="X220" t="s">
        <v>2245</v>
      </c>
      <c r="Y220">
        <f t="shared" si="9"/>
        <v>205</v>
      </c>
      <c r="Z220" t="str">
        <f t="shared" si="10"/>
        <v>C41-22</v>
      </c>
      <c r="AB220">
        <v>252</v>
      </c>
      <c r="AC220" t="s">
        <v>2057</v>
      </c>
    </row>
    <row r="221" spans="1:29">
      <c r="A221" s="7" t="s">
        <v>260</v>
      </c>
      <c r="B221" s="7" t="str">
        <f>Texte!B228</f>
        <v>Dalle en béton 18cm avec coffrage perdu en tôle trapézoïdale, isolation contre les bruits de choc, chape flottante (CC)</v>
      </c>
      <c r="C221" s="7" t="s">
        <v>547</v>
      </c>
      <c r="D221" s="77" t="s">
        <v>548</v>
      </c>
      <c r="E221" s="7" t="s">
        <v>242</v>
      </c>
      <c r="F221" s="7" t="s">
        <v>30</v>
      </c>
      <c r="G221" s="42">
        <f>(I221+J221)/H221</f>
        <v>51.522004889975548</v>
      </c>
      <c r="H221" s="43">
        <v>9.0888888888888886</v>
      </c>
      <c r="I221" s="43">
        <v>437.83333333333331</v>
      </c>
      <c r="J221" s="43">
        <v>30.444444444444443</v>
      </c>
      <c r="K221" s="47">
        <v>2.88</v>
      </c>
      <c r="L221" s="47">
        <v>137.44999999999999</v>
      </c>
      <c r="M221" s="47">
        <v>6.83</v>
      </c>
      <c r="N221" s="50">
        <v>5806</v>
      </c>
      <c r="O221" s="50">
        <v>306475</v>
      </c>
      <c r="P221" s="50">
        <v>15756</v>
      </c>
      <c r="Q221" s="7" t="s">
        <v>19</v>
      </c>
      <c r="R221" s="7" t="s">
        <v>267</v>
      </c>
      <c r="S221" s="8" t="s">
        <v>30</v>
      </c>
      <c r="T221" s="8" t="s">
        <v>341</v>
      </c>
      <c r="U221" s="7" t="s">
        <v>651</v>
      </c>
      <c r="W221">
        <f>COUNTIF($A$157:A221,A221)</f>
        <v>23</v>
      </c>
      <c r="X221" t="s">
        <v>2246</v>
      </c>
      <c r="Y221">
        <f t="shared" si="9"/>
        <v>206</v>
      </c>
      <c r="Z221" t="str">
        <f t="shared" si="10"/>
        <v>C41-23</v>
      </c>
      <c r="AB221">
        <v>253</v>
      </c>
      <c r="AC221" t="s">
        <v>2058</v>
      </c>
    </row>
    <row r="222" spans="1:29">
      <c r="A222" s="8" t="s">
        <v>260</v>
      </c>
      <c r="B222" s="7" t="str">
        <f>Texte!B306</f>
        <v>Plafond en béton 25 cm avec enduit intérieur (SIA 2032)</v>
      </c>
      <c r="C222" s="8"/>
      <c r="D222" s="75"/>
      <c r="E222" s="8" t="s">
        <v>242</v>
      </c>
      <c r="F222" s="8" t="s">
        <v>30</v>
      </c>
      <c r="G222" s="8">
        <v>59</v>
      </c>
      <c r="H222" s="44">
        <v>4.1549401687898087</v>
      </c>
      <c r="I222" s="44">
        <v>196.8233312101911</v>
      </c>
      <c r="J222" s="44">
        <v>32.063228917197449</v>
      </c>
      <c r="K222" s="48">
        <v>1.448309483014862</v>
      </c>
      <c r="L222" s="53">
        <v>73.223839490445883</v>
      </c>
      <c r="M222" s="53">
        <v>7.3484344904458601</v>
      </c>
      <c r="N222" s="50">
        <v>2272.7338460721867</v>
      </c>
      <c r="O222" s="50">
        <v>113790.33439490446</v>
      </c>
      <c r="P222" s="55">
        <v>16562.396369426751</v>
      </c>
      <c r="Q222" s="8" t="s">
        <v>19</v>
      </c>
      <c r="R222" s="7" t="s">
        <v>267</v>
      </c>
      <c r="S222" s="8" t="s">
        <v>30</v>
      </c>
      <c r="T222" s="8" t="s">
        <v>341</v>
      </c>
      <c r="U222" s="7" t="s">
        <v>761</v>
      </c>
      <c r="W222">
        <f>COUNTIF($A$157:A222,A222)</f>
        <v>24</v>
      </c>
      <c r="X222" t="s">
        <v>2293</v>
      </c>
      <c r="Y222">
        <f t="shared" ref="Y222:Y285" si="23">IFERROR(RIGHT(X222,3)*1,"")</f>
        <v>284</v>
      </c>
      <c r="Z222" t="str">
        <f t="shared" ref="Z222:Z285" si="24">IF(Y222&lt;&gt;"",RIGHT(A222,LEN(A222)-SEARCH("_",A222,3))&amp;"-"&amp;W222,"")</f>
        <v>C41-24</v>
      </c>
      <c r="AB222">
        <v>254</v>
      </c>
      <c r="AC222" t="s">
        <v>2059</v>
      </c>
    </row>
    <row r="223" spans="1:29">
      <c r="A223" s="8" t="s">
        <v>260</v>
      </c>
      <c r="B223" s="7" t="str">
        <f>Texte!B308</f>
        <v>Composite bois-béton (avec revêtement inférieur en plâtre) (SIA 2032)</v>
      </c>
      <c r="C223" s="8"/>
      <c r="D223" s="75"/>
      <c r="E223" s="8" t="s">
        <v>242</v>
      </c>
      <c r="F223" s="8" t="s">
        <v>30</v>
      </c>
      <c r="G223" s="8">
        <v>58</v>
      </c>
      <c r="H223" s="44">
        <v>2.1596988969214435</v>
      </c>
      <c r="I223" s="44">
        <v>69.92656974522292</v>
      </c>
      <c r="J223" s="44">
        <v>13.011947070063695</v>
      </c>
      <c r="K223" s="48">
        <v>0.66206773796178342</v>
      </c>
      <c r="L223" s="53">
        <v>25.923532738853506</v>
      </c>
      <c r="M223" s="53">
        <v>2.7284157388535029</v>
      </c>
      <c r="N223" s="50">
        <v>1019.7199481953292</v>
      </c>
      <c r="O223" s="50">
        <v>41901.960127388535</v>
      </c>
      <c r="P223" s="55">
        <v>7124.9757643312105</v>
      </c>
      <c r="Q223" s="8" t="s">
        <v>19</v>
      </c>
      <c r="R223" s="7" t="s">
        <v>267</v>
      </c>
      <c r="S223" s="8" t="s">
        <v>30</v>
      </c>
      <c r="T223" s="8" t="s">
        <v>341</v>
      </c>
      <c r="U223" s="7" t="s">
        <v>761</v>
      </c>
      <c r="W223">
        <f>COUNTIF($A$157:A223,A223)</f>
        <v>25</v>
      </c>
      <c r="X223" t="s">
        <v>2294</v>
      </c>
      <c r="Y223">
        <f t="shared" si="23"/>
        <v>286</v>
      </c>
      <c r="Z223" t="str">
        <f t="shared" si="24"/>
        <v>C41-25</v>
      </c>
      <c r="AB223">
        <v>255</v>
      </c>
      <c r="AC223" t="s">
        <v>2064</v>
      </c>
    </row>
    <row r="224" spans="1:29">
      <c r="A224" s="8" t="s">
        <v>260</v>
      </c>
      <c r="B224" s="7" t="str">
        <f>Texte!B307</f>
        <v>Plafond à éléments en bois (avec revêtement inférieur en plâtre) (SIA 2032)</v>
      </c>
      <c r="C224" s="8"/>
      <c r="D224" s="75"/>
      <c r="E224" s="8" t="s">
        <v>242</v>
      </c>
      <c r="F224" s="8" t="s">
        <v>30</v>
      </c>
      <c r="G224" s="8">
        <v>56</v>
      </c>
      <c r="H224" s="44">
        <v>1.5354086300000001</v>
      </c>
      <c r="I224" s="44">
        <v>40.186591999999997</v>
      </c>
      <c r="J224" s="44">
        <v>5.2945088</v>
      </c>
      <c r="K224" s="48">
        <v>0.32159057000000002</v>
      </c>
      <c r="L224" s="53">
        <v>6.8233120000000005</v>
      </c>
      <c r="M224" s="53">
        <v>1.4000064000000001</v>
      </c>
      <c r="N224" s="50">
        <v>659.23981666666668</v>
      </c>
      <c r="O224" s="50">
        <v>24114.400000000001</v>
      </c>
      <c r="P224" s="55">
        <v>3283.7280000000001</v>
      </c>
      <c r="Q224" s="8" t="s">
        <v>19</v>
      </c>
      <c r="R224" s="7" t="s">
        <v>267</v>
      </c>
      <c r="S224" s="8" t="s">
        <v>30</v>
      </c>
      <c r="T224" s="8" t="s">
        <v>341</v>
      </c>
      <c r="U224" s="7" t="s">
        <v>761</v>
      </c>
      <c r="W224">
        <f>COUNTIF($A$157:A224,A224)</f>
        <v>26</v>
      </c>
      <c r="X224" t="s">
        <v>2295</v>
      </c>
      <c r="Y224">
        <f t="shared" si="23"/>
        <v>285</v>
      </c>
      <c r="Z224" t="str">
        <f t="shared" si="24"/>
        <v>C41-26</v>
      </c>
      <c r="AB224">
        <v>256</v>
      </c>
      <c r="AC224" t="s">
        <v>2063</v>
      </c>
    </row>
    <row r="225" spans="1:29">
      <c r="A225" s="8" t="s">
        <v>1658</v>
      </c>
      <c r="B225" s="7" t="str">
        <f>Texte!B313</f>
        <v>Balcon avec protection contre les chutes (SIA 2032)</v>
      </c>
      <c r="C225" s="8"/>
      <c r="D225" s="75"/>
      <c r="E225" s="8" t="s">
        <v>242</v>
      </c>
      <c r="F225" s="8" t="s">
        <v>30</v>
      </c>
      <c r="G225" s="8">
        <v>40</v>
      </c>
      <c r="H225" s="44">
        <v>12.294208041089965</v>
      </c>
      <c r="I225" s="44">
        <v>466.0375525519031</v>
      </c>
      <c r="J225" s="44">
        <v>25.730769091695496</v>
      </c>
      <c r="K225" s="48">
        <v>3.5227781790657433</v>
      </c>
      <c r="L225" s="53">
        <v>134.49696245674738</v>
      </c>
      <c r="M225" s="53">
        <v>6.4141647058823521</v>
      </c>
      <c r="N225" s="50">
        <v>28400.913812499999</v>
      </c>
      <c r="O225" s="50">
        <v>1113550.0874999999</v>
      </c>
      <c r="P225" s="55">
        <v>22486.464999999997</v>
      </c>
      <c r="Q225" s="8" t="s">
        <v>19</v>
      </c>
      <c r="R225" s="8"/>
      <c r="S225" s="8" t="s">
        <v>30</v>
      </c>
      <c r="T225" s="8" t="s">
        <v>341</v>
      </c>
      <c r="U225" s="7" t="s">
        <v>761</v>
      </c>
      <c r="W225">
        <f>COUNTIF($A$157:A225,A225)</f>
        <v>1</v>
      </c>
      <c r="X225" t="s">
        <v>2296</v>
      </c>
      <c r="Y225">
        <f t="shared" si="23"/>
        <v>291</v>
      </c>
      <c r="Z225" t="str">
        <f t="shared" si="24"/>
        <v>C43-1</v>
      </c>
      <c r="AB225">
        <v>257</v>
      </c>
      <c r="AC225" t="s">
        <v>2068</v>
      </c>
    </row>
    <row r="226" spans="1:29">
      <c r="A226" s="8" t="s">
        <v>258</v>
      </c>
      <c r="B226" s="8" t="str">
        <f>Texte!B343</f>
        <v>Toit à pans inclinés, assainissement par l’extérieur (CC)</v>
      </c>
      <c r="C226" s="8" t="s">
        <v>454</v>
      </c>
      <c r="D226" s="80" t="s">
        <v>474</v>
      </c>
      <c r="E226" s="8" t="s">
        <v>242</v>
      </c>
      <c r="F226" s="8" t="s">
        <v>30</v>
      </c>
      <c r="G226" s="35">
        <v>35.422072451558549</v>
      </c>
      <c r="H226" s="35">
        <v>3.2972222222222221</v>
      </c>
      <c r="I226" s="35">
        <v>114.86944444444444</v>
      </c>
      <c r="J226" s="35">
        <v>1.9249999999999998</v>
      </c>
      <c r="K226" s="8">
        <v>0.87</v>
      </c>
      <c r="L226" s="8">
        <v>30.13</v>
      </c>
      <c r="M226" s="8">
        <v>1.4</v>
      </c>
      <c r="N226" s="8">
        <v>1038</v>
      </c>
      <c r="O226" s="8">
        <v>27118</v>
      </c>
      <c r="P226" s="8">
        <v>9101</v>
      </c>
      <c r="Q226" s="8" t="s">
        <v>20</v>
      </c>
      <c r="R226" s="8"/>
      <c r="S226" s="8" t="s">
        <v>30</v>
      </c>
      <c r="T226" s="8" t="s">
        <v>341</v>
      </c>
      <c r="U226" s="7" t="s">
        <v>651</v>
      </c>
      <c r="W226">
        <f>COUNTIF($A$157:A226,A226)</f>
        <v>1</v>
      </c>
      <c r="X226" t="s">
        <v>2247</v>
      </c>
      <c r="Y226">
        <f t="shared" si="23"/>
        <v>321</v>
      </c>
      <c r="Z226" t="str">
        <f t="shared" si="24"/>
        <v>C44-1</v>
      </c>
      <c r="AB226">
        <v>258</v>
      </c>
      <c r="AC226" t="s">
        <v>2067</v>
      </c>
    </row>
    <row r="227" spans="1:29">
      <c r="A227" s="8" t="s">
        <v>258</v>
      </c>
      <c r="B227" s="8" t="str">
        <f>Texte!B340</f>
        <v>Toiture doublée sur dalle en béton (CC)</v>
      </c>
      <c r="C227" s="8" t="s">
        <v>449</v>
      </c>
      <c r="D227" s="80" t="s">
        <v>471</v>
      </c>
      <c r="E227" s="8" t="s">
        <v>242</v>
      </c>
      <c r="F227" s="8" t="s">
        <v>30</v>
      </c>
      <c r="G227" s="35">
        <v>30.003441156228494</v>
      </c>
      <c r="H227" s="35">
        <v>8.0722222222222211</v>
      </c>
      <c r="I227" s="35">
        <v>234.30277777777778</v>
      </c>
      <c r="J227" s="35">
        <v>7.8916666666666666</v>
      </c>
      <c r="K227" s="8">
        <v>2.02</v>
      </c>
      <c r="L227" s="8">
        <v>29.44</v>
      </c>
      <c r="M227" s="8">
        <v>31.02</v>
      </c>
      <c r="N227" s="8">
        <v>1726</v>
      </c>
      <c r="O227" s="8">
        <v>29003</v>
      </c>
      <c r="P227" s="8">
        <v>22781</v>
      </c>
      <c r="Q227" s="8" t="s">
        <v>20</v>
      </c>
      <c r="R227" s="8"/>
      <c r="S227" s="8" t="s">
        <v>30</v>
      </c>
      <c r="T227" s="8" t="s">
        <v>341</v>
      </c>
      <c r="U227" s="7" t="s">
        <v>651</v>
      </c>
      <c r="W227">
        <f>COUNTIF($A$157:A227,A227)</f>
        <v>2</v>
      </c>
      <c r="X227" t="s">
        <v>2248</v>
      </c>
      <c r="Y227">
        <f t="shared" si="23"/>
        <v>318</v>
      </c>
      <c r="Z227" t="str">
        <f t="shared" si="24"/>
        <v>C44-2</v>
      </c>
      <c r="AB227">
        <v>276</v>
      </c>
      <c r="AC227" t="s">
        <v>2191</v>
      </c>
    </row>
    <row r="228" spans="1:29">
      <c r="A228" s="8" t="s">
        <v>258</v>
      </c>
      <c r="B228" s="8" t="str">
        <f>Texte!B342</f>
        <v>Toiture doublée sur dalle en béton, accessible (CC)</v>
      </c>
      <c r="C228" s="8" t="s">
        <v>451</v>
      </c>
      <c r="D228" s="80" t="s">
        <v>473</v>
      </c>
      <c r="E228" s="8" t="s">
        <v>242</v>
      </c>
      <c r="F228" s="8" t="s">
        <v>30</v>
      </c>
      <c r="G228" s="35">
        <v>30.001705902422383</v>
      </c>
      <c r="H228" s="35">
        <v>8.1416666666666657</v>
      </c>
      <c r="I228" s="35">
        <v>233.02499999999998</v>
      </c>
      <c r="J228" s="35">
        <v>11.238888888888889</v>
      </c>
      <c r="K228" s="8">
        <v>2.2400000000000002</v>
      </c>
      <c r="L228" s="8">
        <v>39.450000000000003</v>
      </c>
      <c r="M228" s="8">
        <v>27.88</v>
      </c>
      <c r="N228" s="8">
        <v>1991</v>
      </c>
      <c r="O228" s="8">
        <v>37640</v>
      </c>
      <c r="P228" s="8">
        <v>22093</v>
      </c>
      <c r="Q228" s="8" t="s">
        <v>20</v>
      </c>
      <c r="R228" s="8"/>
      <c r="S228" s="8" t="s">
        <v>30</v>
      </c>
      <c r="T228" s="8" t="s">
        <v>341</v>
      </c>
      <c r="U228" s="7" t="s">
        <v>651</v>
      </c>
      <c r="W228">
        <f>COUNTIF($A$157:A228,A228)</f>
        <v>3</v>
      </c>
      <c r="X228" t="s">
        <v>2249</v>
      </c>
      <c r="Y228">
        <f t="shared" si="23"/>
        <v>320</v>
      </c>
      <c r="Z228" t="str">
        <f t="shared" si="24"/>
        <v>C44-3</v>
      </c>
      <c r="AB228">
        <v>282</v>
      </c>
      <c r="AC228" t="s">
        <v>2106</v>
      </c>
    </row>
    <row r="229" spans="1:29">
      <c r="A229" s="8" t="s">
        <v>258</v>
      </c>
      <c r="B229" s="8" t="str">
        <f>Texte!B344</f>
        <v>Toit à pans inclinés, assainissement du noyau (CC)</v>
      </c>
      <c r="C229" s="8" t="s">
        <v>455</v>
      </c>
      <c r="D229" s="80" t="s">
        <v>475</v>
      </c>
      <c r="E229" s="8" t="s">
        <v>242</v>
      </c>
      <c r="F229" s="8" t="s">
        <v>30</v>
      </c>
      <c r="G229" s="35">
        <v>29.994152046783626</v>
      </c>
      <c r="H229" s="35">
        <v>1.425</v>
      </c>
      <c r="I229" s="35">
        <v>41.994444444444447</v>
      </c>
      <c r="J229" s="35">
        <v>0.74722222222222223</v>
      </c>
      <c r="K229" s="8">
        <v>0.33</v>
      </c>
      <c r="L229" s="8">
        <v>9.2899999999999991</v>
      </c>
      <c r="M229" s="8">
        <v>0.61</v>
      </c>
      <c r="N229" s="8">
        <v>468</v>
      </c>
      <c r="O229" s="8">
        <v>10675</v>
      </c>
      <c r="P229" s="8">
        <v>3354</v>
      </c>
      <c r="Q229" s="8" t="s">
        <v>20</v>
      </c>
      <c r="R229" s="8"/>
      <c r="S229" s="8" t="s">
        <v>30</v>
      </c>
      <c r="T229" s="8" t="s">
        <v>341</v>
      </c>
      <c r="U229" s="7" t="s">
        <v>651</v>
      </c>
      <c r="W229">
        <f>COUNTIF($A$157:A229,A229)</f>
        <v>4</v>
      </c>
      <c r="X229" t="s">
        <v>2250</v>
      </c>
      <c r="Y229">
        <f t="shared" si="23"/>
        <v>322</v>
      </c>
      <c r="Z229" t="str">
        <f t="shared" si="24"/>
        <v>C44-4</v>
      </c>
      <c r="AB229">
        <v>283</v>
      </c>
      <c r="AC229" t="s">
        <v>2105</v>
      </c>
    </row>
    <row r="230" spans="1:29">
      <c r="A230" s="8" t="s">
        <v>258</v>
      </c>
      <c r="B230" s="8" t="str">
        <f>Texte!B341</f>
        <v>Toiture inversée / toiture améliorée sur dalle en béton, accessible, 22cm XPS (CC)</v>
      </c>
      <c r="C230" s="8" t="s">
        <v>450</v>
      </c>
      <c r="D230" s="80" t="s">
        <v>472</v>
      </c>
      <c r="E230" s="8" t="s">
        <v>242</v>
      </c>
      <c r="F230" s="8" t="s">
        <v>30</v>
      </c>
      <c r="G230" s="35">
        <v>30.001848428835487</v>
      </c>
      <c r="H230" s="35">
        <v>9.0166666666666675</v>
      </c>
      <c r="I230" s="35">
        <v>262.58333333333331</v>
      </c>
      <c r="J230" s="35">
        <v>7.9333333333333327</v>
      </c>
      <c r="K230" s="8">
        <v>2.2200000000000002</v>
      </c>
      <c r="L230" s="8">
        <v>33.549999999999997</v>
      </c>
      <c r="M230" s="8">
        <v>32.909999999999997</v>
      </c>
      <c r="N230" s="8">
        <v>1882</v>
      </c>
      <c r="O230" s="8">
        <v>32493</v>
      </c>
      <c r="P230" s="8">
        <v>23980</v>
      </c>
      <c r="Q230" s="8" t="s">
        <v>20</v>
      </c>
      <c r="R230" s="8"/>
      <c r="S230" s="8" t="s">
        <v>30</v>
      </c>
      <c r="T230" s="8" t="s">
        <v>341</v>
      </c>
      <c r="U230" s="7" t="s">
        <v>651</v>
      </c>
      <c r="W230">
        <f>COUNTIF($A$157:A230,A230)</f>
        <v>5</v>
      </c>
      <c r="X230" t="s">
        <v>2251</v>
      </c>
      <c r="Y230">
        <f t="shared" si="23"/>
        <v>319</v>
      </c>
      <c r="Z230" t="str">
        <f t="shared" si="24"/>
        <v>C44-5</v>
      </c>
      <c r="AB230">
        <v>284</v>
      </c>
      <c r="AC230" t="s">
        <v>2320</v>
      </c>
    </row>
    <row r="231" spans="1:29">
      <c r="A231" s="8" t="s">
        <v>258</v>
      </c>
      <c r="B231" s="7" t="str">
        <f>B85</f>
        <v>Plafond en béton 25 cm avec enduit intérieur, isolé (SIA 2032)</v>
      </c>
      <c r="C231" s="7"/>
      <c r="D231" s="77"/>
      <c r="E231" s="7" t="str">
        <f t="shared" ref="E231:P231" si="25">E85</f>
        <v>BTF</v>
      </c>
      <c r="F231" s="7" t="str">
        <f t="shared" si="25"/>
        <v>m2</v>
      </c>
      <c r="G231" s="7">
        <f t="shared" si="25"/>
        <v>59</v>
      </c>
      <c r="H231" s="7">
        <f t="shared" si="25"/>
        <v>26.659946835456481</v>
      </c>
      <c r="I231" s="7">
        <f t="shared" si="25"/>
        <v>868.30333121019112</v>
      </c>
      <c r="J231" s="7">
        <f t="shared" si="25"/>
        <v>35.73342891719745</v>
      </c>
      <c r="K231" s="7">
        <f t="shared" si="25"/>
        <v>6.6894694830148618</v>
      </c>
      <c r="L231" s="7">
        <f t="shared" si="25"/>
        <v>218.88983949044587</v>
      </c>
      <c r="M231" s="7">
        <f t="shared" si="25"/>
        <v>18.91723449044586</v>
      </c>
      <c r="N231" s="7">
        <f t="shared" si="25"/>
        <v>10235.867179405519</v>
      </c>
      <c r="O231" s="7">
        <f t="shared" si="25"/>
        <v>345312.33439490444</v>
      </c>
      <c r="P231" s="7">
        <f t="shared" si="25"/>
        <v>23934.396369426751</v>
      </c>
      <c r="Q231" s="7" t="s">
        <v>20</v>
      </c>
      <c r="R231" s="8"/>
      <c r="S231" s="8" t="s">
        <v>30</v>
      </c>
      <c r="T231" s="8" t="s">
        <v>341</v>
      </c>
      <c r="U231" s="7" t="s">
        <v>761</v>
      </c>
      <c r="W231">
        <f>COUNTIF($A$157:A231,A231)</f>
        <v>6</v>
      </c>
      <c r="X231" t="s">
        <v>2252</v>
      </c>
      <c r="Y231" t="str">
        <f t="shared" si="23"/>
        <v/>
      </c>
      <c r="Z231" t="str">
        <f t="shared" si="24"/>
        <v/>
      </c>
      <c r="AB231">
        <v>285</v>
      </c>
      <c r="AC231" t="s">
        <v>2322</v>
      </c>
    </row>
    <row r="232" spans="1:29">
      <c r="A232" s="8" t="s">
        <v>258</v>
      </c>
      <c r="B232" s="7" t="str">
        <f>B86</f>
        <v>Plafond en béton 40 cm avec enduit intérieur, isolé (SIA 2032)</v>
      </c>
      <c r="C232" s="7"/>
      <c r="D232" s="77"/>
      <c r="E232" s="7" t="str">
        <f t="shared" ref="E232:P232" si="26">E86</f>
        <v>BTF</v>
      </c>
      <c r="F232" s="7" t="str">
        <f t="shared" si="26"/>
        <v>m2</v>
      </c>
      <c r="G232" s="7">
        <f t="shared" si="26"/>
        <v>59</v>
      </c>
      <c r="H232" s="7">
        <f t="shared" si="26"/>
        <v>29.942240253715504</v>
      </c>
      <c r="I232" s="7">
        <f t="shared" si="26"/>
        <v>1047.3555796178343</v>
      </c>
      <c r="J232" s="7">
        <f t="shared" si="26"/>
        <v>53.618785605095539</v>
      </c>
      <c r="K232" s="7">
        <f t="shared" si="26"/>
        <v>7.6576288036093416</v>
      </c>
      <c r="L232" s="7">
        <f t="shared" si="26"/>
        <v>273.50261910828027</v>
      </c>
      <c r="M232" s="7">
        <f t="shared" si="26"/>
        <v>22.394014108280253</v>
      </c>
      <c r="N232" s="7">
        <f t="shared" si="26"/>
        <v>12501.117688959661</v>
      </c>
      <c r="O232" s="7">
        <f t="shared" si="26"/>
        <v>472201.11019108281</v>
      </c>
      <c r="P232" s="7">
        <f t="shared" si="26"/>
        <v>32960.651146496821</v>
      </c>
      <c r="Q232" s="7" t="s">
        <v>20</v>
      </c>
      <c r="R232" s="8"/>
      <c r="S232" s="8" t="s">
        <v>30</v>
      </c>
      <c r="T232" s="8" t="s">
        <v>341</v>
      </c>
      <c r="U232" s="7" t="s">
        <v>761</v>
      </c>
      <c r="W232">
        <f>COUNTIF($A$157:A232,A232)</f>
        <v>7</v>
      </c>
      <c r="X232" t="s">
        <v>2253</v>
      </c>
      <c r="Y232" t="str">
        <f t="shared" si="23"/>
        <v/>
      </c>
      <c r="Z232" t="str">
        <f t="shared" si="24"/>
        <v/>
      </c>
      <c r="AB232">
        <v>286</v>
      </c>
      <c r="AC232" t="s">
        <v>2321</v>
      </c>
    </row>
    <row r="233" spans="1:29">
      <c r="A233" s="8" t="s">
        <v>258</v>
      </c>
      <c r="B233" s="7" t="str">
        <f t="shared" ref="B233:B234" si="27">B87</f>
        <v>Toiture isolée sous le terrain (SIA 2032)</v>
      </c>
      <c r="C233" s="8"/>
      <c r="D233" s="75"/>
      <c r="E233" s="8" t="s">
        <v>242</v>
      </c>
      <c r="F233" s="8" t="s">
        <v>30</v>
      </c>
      <c r="G233" s="8">
        <v>60</v>
      </c>
      <c r="H233" s="44">
        <v>11.342333333333332</v>
      </c>
      <c r="I233" s="44">
        <v>635.54</v>
      </c>
      <c r="J233" s="44">
        <v>45</v>
      </c>
      <c r="K233" s="48">
        <v>3.6171666666666669</v>
      </c>
      <c r="L233" s="53">
        <v>153</v>
      </c>
      <c r="M233" s="53">
        <v>64.03</v>
      </c>
      <c r="N233" s="50">
        <v>4462.2994999999992</v>
      </c>
      <c r="O233" s="50">
        <v>219495</v>
      </c>
      <c r="P233" s="50">
        <v>48242.97</v>
      </c>
      <c r="Q233" s="8" t="s">
        <v>20</v>
      </c>
      <c r="R233" s="8"/>
      <c r="S233" s="8" t="s">
        <v>30</v>
      </c>
      <c r="T233" s="8" t="s">
        <v>341</v>
      </c>
      <c r="U233" s="7" t="s">
        <v>761</v>
      </c>
      <c r="W233">
        <f>COUNTIF($A$157:A233,A233)</f>
        <v>8</v>
      </c>
      <c r="X233" t="s">
        <v>2297</v>
      </c>
      <c r="Y233" t="str">
        <f t="shared" si="23"/>
        <v/>
      </c>
      <c r="Z233" t="str">
        <f t="shared" si="24"/>
        <v/>
      </c>
      <c r="AB233">
        <v>287</v>
      </c>
      <c r="AC233" t="s">
        <v>2194</v>
      </c>
    </row>
    <row r="234" spans="1:29">
      <c r="A234" s="8" t="s">
        <v>258</v>
      </c>
      <c r="B234" s="7" t="str">
        <f t="shared" si="27"/>
        <v>Toit sous terrain non isolé (SIA 2032)</v>
      </c>
      <c r="C234" s="8"/>
      <c r="D234" s="75"/>
      <c r="E234" s="8" t="s">
        <v>242</v>
      </c>
      <c r="F234" s="8" t="s">
        <v>30</v>
      </c>
      <c r="G234" s="8">
        <v>60</v>
      </c>
      <c r="H234" s="44">
        <v>5.8386666666666667</v>
      </c>
      <c r="I234" s="44">
        <v>309.45</v>
      </c>
      <c r="J234" s="44">
        <v>40.869999999999997</v>
      </c>
      <c r="K234" s="48">
        <v>1.911</v>
      </c>
      <c r="L234" s="8">
        <v>90.92</v>
      </c>
      <c r="M234" s="8">
        <v>23.74</v>
      </c>
      <c r="N234" s="50">
        <v>3106.1016666666669</v>
      </c>
      <c r="O234" s="50">
        <v>158321.5</v>
      </c>
      <c r="P234" s="50">
        <v>28044.6</v>
      </c>
      <c r="Q234" s="8" t="s">
        <v>19</v>
      </c>
      <c r="R234" s="8"/>
      <c r="S234" s="8" t="s">
        <v>30</v>
      </c>
      <c r="T234" s="8" t="s">
        <v>341</v>
      </c>
      <c r="U234" s="7" t="s">
        <v>761</v>
      </c>
      <c r="W234">
        <f>COUNTIF($A$157:A234,A234)</f>
        <v>9</v>
      </c>
      <c r="X234" t="s">
        <v>2298</v>
      </c>
      <c r="Y234" t="str">
        <f t="shared" si="23"/>
        <v/>
      </c>
      <c r="Z234" t="str">
        <f t="shared" si="24"/>
        <v/>
      </c>
      <c r="AB234">
        <v>288</v>
      </c>
      <c r="AC234" t="s">
        <v>2195</v>
      </c>
    </row>
    <row r="235" spans="1:29">
      <c r="A235" s="8" t="s">
        <v>258</v>
      </c>
      <c r="B235" s="7" t="str">
        <f>B96</f>
        <v>Plafond en bois avec revêtement inférieur en plâtre, isolé (SIA 2032)</v>
      </c>
      <c r="C235" s="7"/>
      <c r="D235" s="77"/>
      <c r="E235" s="7" t="str">
        <f t="shared" ref="E235:Q235" si="28">E96</f>
        <v>BTF</v>
      </c>
      <c r="F235" s="7" t="str">
        <f t="shared" si="28"/>
        <v>m2</v>
      </c>
      <c r="G235" s="7">
        <f t="shared" si="28"/>
        <v>56</v>
      </c>
      <c r="H235" s="7">
        <f t="shared" si="28"/>
        <v>25.199062450000003</v>
      </c>
      <c r="I235" s="7">
        <f t="shared" si="28"/>
        <v>804.51391999999998</v>
      </c>
      <c r="J235" s="7">
        <f t="shared" si="28"/>
        <v>8.9579184999999999</v>
      </c>
      <c r="K235" s="7">
        <f t="shared" si="28"/>
        <v>5.7627076800000001</v>
      </c>
      <c r="L235" s="7">
        <f t="shared" si="28"/>
        <v>168.413578</v>
      </c>
      <c r="M235" s="7">
        <f t="shared" si="28"/>
        <v>14.578024899999999</v>
      </c>
      <c r="N235" s="7">
        <f t="shared" si="28"/>
        <v>9273.5723500000004</v>
      </c>
      <c r="O235" s="7">
        <f t="shared" si="28"/>
        <v>299634.32999999996</v>
      </c>
      <c r="P235" s="7">
        <f t="shared" si="28"/>
        <v>11807.880499999999</v>
      </c>
      <c r="Q235" s="7" t="str">
        <f t="shared" si="28"/>
        <v>Ja</v>
      </c>
      <c r="R235" s="8"/>
      <c r="S235" s="8" t="s">
        <v>30</v>
      </c>
      <c r="T235" s="8" t="s">
        <v>341</v>
      </c>
      <c r="U235" s="7" t="s">
        <v>761</v>
      </c>
      <c r="W235">
        <f>COUNTIF($A$157:A235,A235)</f>
        <v>10</v>
      </c>
      <c r="X235" t="s">
        <v>2254</v>
      </c>
      <c r="Y235" t="str">
        <f t="shared" si="23"/>
        <v/>
      </c>
      <c r="Z235" t="str">
        <f t="shared" si="24"/>
        <v/>
      </c>
      <c r="AB235">
        <v>289</v>
      </c>
      <c r="AC235" t="s">
        <v>2193</v>
      </c>
    </row>
    <row r="236" spans="1:29">
      <c r="A236" s="8" t="s">
        <v>258</v>
      </c>
      <c r="B236" s="7" t="str">
        <f t="shared" ref="B236:Q238" si="29">B97</f>
        <v>Construction en bois, toit en pente, isolé (SIA 2032)</v>
      </c>
      <c r="C236" s="7"/>
      <c r="D236" s="77"/>
      <c r="E236" s="7" t="str">
        <f t="shared" si="29"/>
        <v>BTF</v>
      </c>
      <c r="F236" s="7" t="str">
        <f t="shared" si="29"/>
        <v>m2</v>
      </c>
      <c r="G236" s="7">
        <f t="shared" si="29"/>
        <v>50</v>
      </c>
      <c r="H236" s="7">
        <f t="shared" si="29"/>
        <v>25.206535750000004</v>
      </c>
      <c r="I236" s="7">
        <f t="shared" si="29"/>
        <v>785.30312000000004</v>
      </c>
      <c r="J236" s="7">
        <f t="shared" si="29"/>
        <v>5.2954080000000001</v>
      </c>
      <c r="K236" s="7">
        <f t="shared" si="29"/>
        <v>5.8077673299999999</v>
      </c>
      <c r="L236" s="7">
        <f t="shared" si="29"/>
        <v>166.62011999999999</v>
      </c>
      <c r="M236" s="7">
        <f t="shared" si="29"/>
        <v>13.539004</v>
      </c>
      <c r="N236" s="7">
        <f t="shared" si="29"/>
        <v>8849.6643499999991</v>
      </c>
      <c r="O236" s="7">
        <f t="shared" si="29"/>
        <v>270687</v>
      </c>
      <c r="P236" s="7">
        <f t="shared" si="29"/>
        <v>9242.6</v>
      </c>
      <c r="Q236" s="7" t="str">
        <f t="shared" si="29"/>
        <v>Ja</v>
      </c>
      <c r="R236" s="8"/>
      <c r="S236" s="8" t="s">
        <v>30</v>
      </c>
      <c r="T236" s="8" t="s">
        <v>341</v>
      </c>
      <c r="U236" s="7" t="s">
        <v>761</v>
      </c>
      <c r="W236">
        <f>COUNTIF($A$157:A236,A236)</f>
        <v>11</v>
      </c>
      <c r="X236" t="s">
        <v>2255</v>
      </c>
      <c r="Y236" t="str">
        <f t="shared" si="23"/>
        <v/>
      </c>
      <c r="Z236" t="str">
        <f t="shared" si="24"/>
        <v/>
      </c>
      <c r="AB236">
        <v>290</v>
      </c>
      <c r="AC236" t="s">
        <v>2192</v>
      </c>
    </row>
    <row r="237" spans="1:29">
      <c r="A237" s="8" t="s">
        <v>258</v>
      </c>
      <c r="B237" s="7" t="str">
        <f t="shared" si="29"/>
        <v>Construction en bois, toit en pente, non isolé (SIA 2032)</v>
      </c>
      <c r="C237" s="7"/>
      <c r="D237" s="77"/>
      <c r="E237" s="7" t="str">
        <f t="shared" si="29"/>
        <v>BTF</v>
      </c>
      <c r="F237" s="7" t="str">
        <f t="shared" si="29"/>
        <v>m2</v>
      </c>
      <c r="G237" s="7">
        <f t="shared" si="29"/>
        <v>50</v>
      </c>
      <c r="H237" s="7">
        <f t="shared" si="29"/>
        <v>11.551852222222223</v>
      </c>
      <c r="I237" s="7">
        <f t="shared" si="29"/>
        <v>334.89083333333338</v>
      </c>
      <c r="J237" s="7">
        <f t="shared" si="29"/>
        <v>13.289941333333333</v>
      </c>
      <c r="K237" s="7">
        <f t="shared" si="29"/>
        <v>3.5100179077777787</v>
      </c>
      <c r="L237" s="7">
        <f t="shared" si="29"/>
        <v>67.380670000000009</v>
      </c>
      <c r="M237" s="7">
        <f t="shared" si="29"/>
        <v>43.845971333333338</v>
      </c>
      <c r="N237" s="7">
        <f t="shared" si="29"/>
        <v>3602.3870166666666</v>
      </c>
      <c r="O237" s="7">
        <f t="shared" si="29"/>
        <v>96575.43333333332</v>
      </c>
      <c r="P237" s="7">
        <f t="shared" si="29"/>
        <v>25935.846666666668</v>
      </c>
      <c r="Q237" s="7" t="str">
        <f t="shared" si="29"/>
        <v>Nein</v>
      </c>
      <c r="R237" s="8"/>
      <c r="S237" s="8" t="s">
        <v>30</v>
      </c>
      <c r="T237" s="8" t="s">
        <v>341</v>
      </c>
      <c r="U237" s="7" t="s">
        <v>761</v>
      </c>
      <c r="W237">
        <f>COUNTIF($A$157:A237,A237)</f>
        <v>12</v>
      </c>
      <c r="X237" t="s">
        <v>2256</v>
      </c>
      <c r="Y237" t="str">
        <f t="shared" si="23"/>
        <v/>
      </c>
      <c r="Z237" t="str">
        <f t="shared" si="24"/>
        <v/>
      </c>
      <c r="AB237">
        <v>291</v>
      </c>
      <c r="AC237" t="s">
        <v>2128</v>
      </c>
    </row>
    <row r="238" spans="1:29">
      <c r="A238" s="8" t="s">
        <v>258</v>
      </c>
      <c r="B238" s="7" t="str">
        <f t="shared" si="29"/>
        <v>Plafond composite en tôle profilée, isolé (SIA 2032)</v>
      </c>
      <c r="C238" s="7"/>
      <c r="D238" s="77"/>
      <c r="E238" s="7" t="str">
        <f t="shared" si="29"/>
        <v>BTF</v>
      </c>
      <c r="F238" s="7" t="str">
        <f t="shared" si="29"/>
        <v>m2</v>
      </c>
      <c r="G238" s="7">
        <f t="shared" si="29"/>
        <v>60</v>
      </c>
      <c r="H238" s="7">
        <f t="shared" si="29"/>
        <v>27.84500606157113</v>
      </c>
      <c r="I238" s="7">
        <f t="shared" si="29"/>
        <v>978.48240509554148</v>
      </c>
      <c r="J238" s="7">
        <f t="shared" si="29"/>
        <v>17.067758598726112</v>
      </c>
      <c r="K238" s="7">
        <f t="shared" si="29"/>
        <v>6.6384678407643314</v>
      </c>
      <c r="L238" s="7">
        <f t="shared" si="29"/>
        <v>226.90008522292993</v>
      </c>
      <c r="M238" s="7">
        <f t="shared" si="29"/>
        <v>14.173185222929936</v>
      </c>
      <c r="N238" s="7">
        <f t="shared" si="29"/>
        <v>12431.179369426751</v>
      </c>
      <c r="O238" s="7">
        <f t="shared" si="29"/>
        <v>492843.37745222927</v>
      </c>
      <c r="P238" s="7">
        <f t="shared" si="29"/>
        <v>14133.384713375795</v>
      </c>
      <c r="Q238" s="7" t="str">
        <f t="shared" si="29"/>
        <v>Ja</v>
      </c>
      <c r="R238" s="8"/>
      <c r="S238" s="8" t="s">
        <v>30</v>
      </c>
      <c r="T238" s="8" t="s">
        <v>341</v>
      </c>
      <c r="U238" s="7" t="s">
        <v>761</v>
      </c>
      <c r="W238">
        <f>COUNTIF($A$157:A238,A238)</f>
        <v>13</v>
      </c>
      <c r="X238" t="s">
        <v>2257</v>
      </c>
      <c r="Y238" t="str">
        <f t="shared" si="23"/>
        <v/>
      </c>
      <c r="Z238" t="str">
        <f t="shared" si="24"/>
        <v/>
      </c>
      <c r="AB238">
        <v>292</v>
      </c>
      <c r="AC238" t="s">
        <v>2175</v>
      </c>
    </row>
    <row r="239" spans="1:29">
      <c r="A239" s="7" t="s">
        <v>689</v>
      </c>
      <c r="B239" s="7" t="str">
        <f>Texte!B238</f>
        <v>Evacuation d'air: séjour, cuisine et salle de bain</v>
      </c>
      <c r="C239" s="7" t="s">
        <v>678</v>
      </c>
      <c r="D239" s="78" t="s">
        <v>659</v>
      </c>
      <c r="E239" s="7" t="s">
        <v>246</v>
      </c>
      <c r="F239" s="7" t="s">
        <v>30</v>
      </c>
      <c r="G239" s="7">
        <v>30</v>
      </c>
      <c r="H239" s="44">
        <v>0.50388333333333335</v>
      </c>
      <c r="I239" s="44">
        <v>15.1</v>
      </c>
      <c r="J239" s="44">
        <v>1.6500000000000001E-2</v>
      </c>
      <c r="K239" s="48">
        <f t="shared" ref="K239:K265" si="30">(L239+M239)/$G239</f>
        <v>0.11353333333333332</v>
      </c>
      <c r="L239" s="48">
        <v>3.28</v>
      </c>
      <c r="M239" s="48">
        <v>0.126</v>
      </c>
      <c r="N239" s="46">
        <f t="shared" ref="N239:N265" si="31">(O239+P239)/$G239</f>
        <v>445.52333333333337</v>
      </c>
      <c r="O239" s="46">
        <v>13300</v>
      </c>
      <c r="P239" s="46">
        <v>65.7</v>
      </c>
      <c r="Q239" s="7" t="s">
        <v>19</v>
      </c>
      <c r="R239" s="7" t="s">
        <v>268</v>
      </c>
      <c r="S239" s="8" t="s">
        <v>30</v>
      </c>
      <c r="T239" s="8" t="s">
        <v>2344</v>
      </c>
      <c r="U239" s="7" t="s">
        <v>657</v>
      </c>
      <c r="W239">
        <f>COUNTIF($A$157:A239,A239)</f>
        <v>1</v>
      </c>
      <c r="X239" t="s">
        <v>2258</v>
      </c>
      <c r="Y239">
        <f t="shared" si="23"/>
        <v>216</v>
      </c>
      <c r="Z239" t="str">
        <f t="shared" si="24"/>
        <v>D-1</v>
      </c>
      <c r="AB239">
        <v>293</v>
      </c>
      <c r="AC239" t="s">
        <v>2174</v>
      </c>
    </row>
    <row r="240" spans="1:29">
      <c r="A240" s="7" t="s">
        <v>689</v>
      </c>
      <c r="B240" s="7" t="str">
        <f>Texte!B239</f>
        <v>Installations électriques, bureau</v>
      </c>
      <c r="C240" s="41" t="s">
        <v>683</v>
      </c>
      <c r="D240" s="78" t="s">
        <v>659</v>
      </c>
      <c r="E240" s="7" t="s">
        <v>246</v>
      </c>
      <c r="F240" s="7" t="s">
        <v>30</v>
      </c>
      <c r="G240" s="7">
        <v>30</v>
      </c>
      <c r="H240" s="44">
        <v>3.7944</v>
      </c>
      <c r="I240" s="44">
        <v>113</v>
      </c>
      <c r="J240" s="44">
        <v>0.83199999999999996</v>
      </c>
      <c r="K240" s="48">
        <f t="shared" si="30"/>
        <v>0.79499999999999993</v>
      </c>
      <c r="L240" s="48">
        <v>22.4</v>
      </c>
      <c r="M240" s="48">
        <v>1.45</v>
      </c>
      <c r="N240" s="46">
        <f t="shared" si="31"/>
        <v>3896.6666666666665</v>
      </c>
      <c r="O240" s="46">
        <v>116000</v>
      </c>
      <c r="P240" s="46">
        <v>900</v>
      </c>
      <c r="Q240" s="7" t="s">
        <v>19</v>
      </c>
      <c r="R240" s="7" t="s">
        <v>268</v>
      </c>
      <c r="S240" s="8" t="s">
        <v>30</v>
      </c>
      <c r="T240" s="8" t="s">
        <v>2345</v>
      </c>
      <c r="U240" s="7" t="s">
        <v>657</v>
      </c>
      <c r="W240">
        <f>COUNTIF($A$157:A240,A240)</f>
        <v>2</v>
      </c>
      <c r="X240" t="s">
        <v>2259</v>
      </c>
      <c r="Y240">
        <f t="shared" si="23"/>
        <v>217</v>
      </c>
      <c r="Z240" t="str">
        <f t="shared" si="24"/>
        <v>D-2</v>
      </c>
      <c r="AB240">
        <v>294</v>
      </c>
      <c r="AC240" t="s">
        <v>2182</v>
      </c>
    </row>
    <row r="241" spans="1:29">
      <c r="A241" s="7" t="s">
        <v>689</v>
      </c>
      <c r="B241" s="7" t="str">
        <f>Texte!B240</f>
        <v>Installations électriques, habitation</v>
      </c>
      <c r="C241" s="41" t="s">
        <v>682</v>
      </c>
      <c r="D241" s="78" t="s">
        <v>659</v>
      </c>
      <c r="E241" s="7" t="s">
        <v>246</v>
      </c>
      <c r="F241" s="7" t="s">
        <v>30</v>
      </c>
      <c r="G241" s="7">
        <v>30</v>
      </c>
      <c r="H241" s="44">
        <v>1.8452333333333333</v>
      </c>
      <c r="I241" s="44">
        <v>54.6</v>
      </c>
      <c r="J241" s="44">
        <v>0.75700000000000001</v>
      </c>
      <c r="K241" s="48">
        <f t="shared" si="30"/>
        <v>0.42333333333333339</v>
      </c>
      <c r="L241" s="48">
        <v>9.3000000000000007</v>
      </c>
      <c r="M241" s="48">
        <v>3.4</v>
      </c>
      <c r="N241" s="46">
        <f t="shared" si="31"/>
        <v>1574</v>
      </c>
      <c r="O241" s="46">
        <v>45400</v>
      </c>
      <c r="P241" s="46">
        <v>1820</v>
      </c>
      <c r="Q241" s="7" t="s">
        <v>19</v>
      </c>
      <c r="R241" s="7" t="s">
        <v>268</v>
      </c>
      <c r="S241" s="8" t="s">
        <v>30</v>
      </c>
      <c r="T241" s="8" t="s">
        <v>2345</v>
      </c>
      <c r="U241" s="7" t="s">
        <v>657</v>
      </c>
      <c r="W241">
        <f>COUNTIF($A$157:A241,A241)</f>
        <v>3</v>
      </c>
      <c r="X241" t="s">
        <v>2260</v>
      </c>
      <c r="Y241">
        <f t="shared" si="23"/>
        <v>218</v>
      </c>
      <c r="Z241" t="str">
        <f t="shared" si="24"/>
        <v>D-3</v>
      </c>
      <c r="AB241">
        <v>295</v>
      </c>
      <c r="AC241" t="s">
        <v>2183</v>
      </c>
    </row>
    <row r="242" spans="1:29">
      <c r="A242" s="7" t="s">
        <v>689</v>
      </c>
      <c r="B242" s="7" t="str">
        <f>Texte!B241</f>
        <v>Sondes géothermiques, pour pompe à chaleur saumure-eau</v>
      </c>
      <c r="C242" s="7" t="s">
        <v>669</v>
      </c>
      <c r="D242" s="78" t="s">
        <v>659</v>
      </c>
      <c r="E242" s="7" t="s">
        <v>655</v>
      </c>
      <c r="F242" s="7" t="s">
        <v>180</v>
      </c>
      <c r="G242" s="7">
        <v>40</v>
      </c>
      <c r="H242" s="44">
        <v>3.2619999999999996</v>
      </c>
      <c r="I242" s="43">
        <v>129</v>
      </c>
      <c r="J242" s="43">
        <v>1.48</v>
      </c>
      <c r="K242" s="48">
        <f t="shared" si="30"/>
        <v>0.70074999999999998</v>
      </c>
      <c r="L242" s="47">
        <v>25.3</v>
      </c>
      <c r="M242" s="47">
        <v>2.73</v>
      </c>
      <c r="N242" s="46">
        <f t="shared" si="31"/>
        <v>865</v>
      </c>
      <c r="O242" s="50">
        <v>30500</v>
      </c>
      <c r="P242" s="50">
        <v>4100</v>
      </c>
      <c r="Q242" s="7" t="s">
        <v>19</v>
      </c>
      <c r="R242" s="7" t="s">
        <v>1729</v>
      </c>
      <c r="S242" s="8" t="s">
        <v>180</v>
      </c>
      <c r="T242" s="8" t="s">
        <v>2347</v>
      </c>
      <c r="U242" s="7" t="s">
        <v>657</v>
      </c>
      <c r="W242">
        <f>COUNTIF($A$157:A242,A242)</f>
        <v>4</v>
      </c>
      <c r="X242" t="s">
        <v>2261</v>
      </c>
      <c r="Y242">
        <f t="shared" si="23"/>
        <v>219</v>
      </c>
      <c r="Z242" t="str">
        <f t="shared" si="24"/>
        <v>D-4</v>
      </c>
      <c r="AB242">
        <v>296</v>
      </c>
      <c r="AC242" t="s">
        <v>2185</v>
      </c>
    </row>
    <row r="243" spans="1:29">
      <c r="A243" s="7" t="s">
        <v>689</v>
      </c>
      <c r="B243" s="7" t="str">
        <f>Texte!B242</f>
        <v>Collecteurs solaires plans, chauffage et eau chaude  maison individuelle</v>
      </c>
      <c r="C243" s="7" t="s">
        <v>671</v>
      </c>
      <c r="D243" s="78" t="s">
        <v>659</v>
      </c>
      <c r="E243" s="7" t="s">
        <v>656</v>
      </c>
      <c r="F243" s="7" t="s">
        <v>30</v>
      </c>
      <c r="G243" s="7">
        <v>30</v>
      </c>
      <c r="H243" s="44">
        <v>27.466666666666665</v>
      </c>
      <c r="I243" s="43">
        <v>824</v>
      </c>
      <c r="J243" s="43">
        <v>0</v>
      </c>
      <c r="K243" s="48">
        <f t="shared" si="30"/>
        <v>6.1333333333333337</v>
      </c>
      <c r="L243" s="47">
        <v>184</v>
      </c>
      <c r="M243" s="47">
        <v>0</v>
      </c>
      <c r="N243" s="46">
        <f t="shared" si="31"/>
        <v>15066.666666666666</v>
      </c>
      <c r="O243" s="50">
        <v>452000</v>
      </c>
      <c r="P243" s="50">
        <v>0</v>
      </c>
      <c r="Q243" s="7" t="s">
        <v>19</v>
      </c>
      <c r="R243" s="7"/>
      <c r="S243" s="8" t="s">
        <v>30</v>
      </c>
      <c r="T243" s="8" t="s">
        <v>2348</v>
      </c>
      <c r="U243" s="7" t="s">
        <v>657</v>
      </c>
      <c r="W243">
        <f>COUNTIF($A$157:A243,A243)</f>
        <v>5</v>
      </c>
      <c r="X243" t="s">
        <v>2262</v>
      </c>
      <c r="Y243">
        <f t="shared" si="23"/>
        <v>220</v>
      </c>
      <c r="Z243" t="str">
        <f t="shared" si="24"/>
        <v>D-5</v>
      </c>
      <c r="AB243">
        <v>297</v>
      </c>
      <c r="AC243" t="s">
        <v>2184</v>
      </c>
    </row>
    <row r="244" spans="1:29">
      <c r="A244" s="7" t="s">
        <v>689</v>
      </c>
      <c r="B244" s="7" t="str">
        <f>Texte!B243</f>
        <v>Collecteurs solaires plans, eau chaude maison individuelle</v>
      </c>
      <c r="C244" s="7" t="s">
        <v>670</v>
      </c>
      <c r="D244" s="78" t="s">
        <v>659</v>
      </c>
      <c r="E244" s="7" t="s">
        <v>656</v>
      </c>
      <c r="F244" s="7" t="s">
        <v>30</v>
      </c>
      <c r="G244" s="7">
        <v>30</v>
      </c>
      <c r="H244" s="44">
        <v>38</v>
      </c>
      <c r="I244" s="43">
        <v>1140</v>
      </c>
      <c r="J244" s="43">
        <v>0</v>
      </c>
      <c r="K244" s="48">
        <f t="shared" si="30"/>
        <v>8.5333333333333332</v>
      </c>
      <c r="L244" s="47">
        <v>256</v>
      </c>
      <c r="M244" s="47">
        <v>0</v>
      </c>
      <c r="N244" s="46">
        <f t="shared" si="31"/>
        <v>22533.333333333332</v>
      </c>
      <c r="O244" s="50">
        <v>676000</v>
      </c>
      <c r="P244" s="50">
        <v>0</v>
      </c>
      <c r="Q244" s="7" t="s">
        <v>19</v>
      </c>
      <c r="R244" s="7"/>
      <c r="S244" s="8" t="s">
        <v>30</v>
      </c>
      <c r="T244" s="8" t="s">
        <v>2348</v>
      </c>
      <c r="U244" s="7" t="s">
        <v>657</v>
      </c>
      <c r="W244">
        <f>COUNTIF($A$157:A244,A244)</f>
        <v>6</v>
      </c>
      <c r="X244" t="s">
        <v>2263</v>
      </c>
      <c r="Y244">
        <f t="shared" si="23"/>
        <v>221</v>
      </c>
      <c r="Z244" t="str">
        <f t="shared" si="24"/>
        <v>D-6</v>
      </c>
      <c r="AB244">
        <v>298</v>
      </c>
      <c r="AC244" t="s">
        <v>2176</v>
      </c>
    </row>
    <row r="245" spans="1:29">
      <c r="A245" s="7" t="s">
        <v>689</v>
      </c>
      <c r="B245" s="7" t="str">
        <f>Texte!B244</f>
        <v>Collecteurs solaires plans, eau chaude habitat collectif</v>
      </c>
      <c r="C245" s="7" t="s">
        <v>672</v>
      </c>
      <c r="D245" s="78" t="s">
        <v>659</v>
      </c>
      <c r="E245" s="7" t="s">
        <v>656</v>
      </c>
      <c r="F245" s="7" t="s">
        <v>30</v>
      </c>
      <c r="G245" s="7">
        <v>30</v>
      </c>
      <c r="H245" s="44">
        <v>23.166666666666668</v>
      </c>
      <c r="I245" s="43">
        <v>695</v>
      </c>
      <c r="J245" s="43">
        <v>0</v>
      </c>
      <c r="K245" s="48">
        <f t="shared" si="30"/>
        <v>5.166666666666667</v>
      </c>
      <c r="L245" s="47">
        <v>155</v>
      </c>
      <c r="M245" s="47">
        <v>0</v>
      </c>
      <c r="N245" s="46">
        <f t="shared" si="31"/>
        <v>13133.333333333334</v>
      </c>
      <c r="O245" s="50">
        <v>394000</v>
      </c>
      <c r="P245" s="50">
        <v>0</v>
      </c>
      <c r="Q245" s="7" t="s">
        <v>19</v>
      </c>
      <c r="R245" s="7"/>
      <c r="S245" s="8" t="s">
        <v>30</v>
      </c>
      <c r="T245" s="8" t="s">
        <v>2348</v>
      </c>
      <c r="U245" s="7" t="s">
        <v>657</v>
      </c>
      <c r="W245">
        <f>COUNTIF($A$157:A245,A245)</f>
        <v>7</v>
      </c>
      <c r="X245" t="s">
        <v>2264</v>
      </c>
      <c r="Y245">
        <f t="shared" si="23"/>
        <v>222</v>
      </c>
      <c r="Z245" t="str">
        <f t="shared" si="24"/>
        <v>D-7</v>
      </c>
      <c r="AB245">
        <v>299</v>
      </c>
      <c r="AC245" t="s">
        <v>2181</v>
      </c>
    </row>
    <row r="246" spans="1:29">
      <c r="A246" s="7" t="s">
        <v>689</v>
      </c>
      <c r="B246" s="7" t="str">
        <f>Texte!B245</f>
        <v>Ventilation bureau (4 m3/h*m2)</v>
      </c>
      <c r="C246" s="7" t="s">
        <v>673</v>
      </c>
      <c r="D246" s="78" t="s">
        <v>659</v>
      </c>
      <c r="E246" s="7" t="s">
        <v>246</v>
      </c>
      <c r="F246" s="7" t="s">
        <v>30</v>
      </c>
      <c r="G246" s="7">
        <v>30</v>
      </c>
      <c r="H246" s="44">
        <v>3.7147999999999999</v>
      </c>
      <c r="I246" s="44">
        <v>111</v>
      </c>
      <c r="J246" s="44">
        <v>0.44400000000000001</v>
      </c>
      <c r="K246" s="48">
        <f t="shared" si="30"/>
        <v>0.86543333333333339</v>
      </c>
      <c r="L246" s="48">
        <v>25.2</v>
      </c>
      <c r="M246" s="48">
        <v>0.76300000000000001</v>
      </c>
      <c r="N246" s="46">
        <f t="shared" si="31"/>
        <v>2159.6</v>
      </c>
      <c r="O246" s="46">
        <v>64300</v>
      </c>
      <c r="P246" s="46">
        <v>488</v>
      </c>
      <c r="Q246" s="7" t="s">
        <v>19</v>
      </c>
      <c r="R246" s="7" t="s">
        <v>268</v>
      </c>
      <c r="S246" s="8" t="s">
        <v>30</v>
      </c>
      <c r="T246" s="8" t="s">
        <v>2344</v>
      </c>
      <c r="U246" s="7" t="s">
        <v>657</v>
      </c>
      <c r="W246">
        <f>COUNTIF($A$157:A246,A246)</f>
        <v>8</v>
      </c>
      <c r="X246" t="s">
        <v>2265</v>
      </c>
      <c r="Y246">
        <f t="shared" si="23"/>
        <v>223</v>
      </c>
      <c r="Z246" t="str">
        <f t="shared" si="24"/>
        <v>D-8</v>
      </c>
      <c r="AB246">
        <v>300</v>
      </c>
      <c r="AC246" t="s">
        <v>2173</v>
      </c>
    </row>
    <row r="247" spans="1:29">
      <c r="A247" s="7" t="s">
        <v>689</v>
      </c>
      <c r="B247" s="7" t="str">
        <f>Texte!B246</f>
        <v>Ventilation école, réunion (8 m3/h*m2)</v>
      </c>
      <c r="C247" s="7" t="s">
        <v>675</v>
      </c>
      <c r="D247" s="78" t="s">
        <v>659</v>
      </c>
      <c r="E247" s="7" t="s">
        <v>246</v>
      </c>
      <c r="F247" s="7" t="s">
        <v>30</v>
      </c>
      <c r="G247" s="7">
        <v>30</v>
      </c>
      <c r="H247" s="44">
        <v>6.2586000000000004</v>
      </c>
      <c r="I247" s="44">
        <v>187</v>
      </c>
      <c r="J247" s="44">
        <v>0.75800000000000001</v>
      </c>
      <c r="K247" s="48">
        <f t="shared" si="30"/>
        <v>1.454</v>
      </c>
      <c r="L247" s="48">
        <v>42.3</v>
      </c>
      <c r="M247" s="48">
        <v>1.32</v>
      </c>
      <c r="N247" s="46">
        <f t="shared" si="31"/>
        <v>3628.1</v>
      </c>
      <c r="O247" s="46">
        <v>108000</v>
      </c>
      <c r="P247" s="46">
        <v>843</v>
      </c>
      <c r="Q247" s="7" t="s">
        <v>19</v>
      </c>
      <c r="R247" s="7" t="s">
        <v>268</v>
      </c>
      <c r="S247" s="8" t="s">
        <v>30</v>
      </c>
      <c r="T247" s="8" t="s">
        <v>2344</v>
      </c>
      <c r="U247" s="7" t="s">
        <v>657</v>
      </c>
      <c r="W247">
        <f>COUNTIF($A$157:A247,A247)</f>
        <v>9</v>
      </c>
      <c r="X247" t="s">
        <v>2266</v>
      </c>
      <c r="Y247">
        <f t="shared" si="23"/>
        <v>224</v>
      </c>
      <c r="Z247" t="str">
        <f t="shared" si="24"/>
        <v>D-9</v>
      </c>
      <c r="AB247">
        <v>301</v>
      </c>
      <c r="AC247" t="s">
        <v>2178</v>
      </c>
    </row>
    <row r="248" spans="1:29">
      <c r="A248" s="7" t="s">
        <v>689</v>
      </c>
      <c r="B248" s="7" t="str">
        <f>Texte!B247</f>
        <v>Ventilation habitation, canaux en tôle, évacuation d'air cuisine inclue</v>
      </c>
      <c r="C248" s="7" t="s">
        <v>676</v>
      </c>
      <c r="D248" s="78" t="s">
        <v>659</v>
      </c>
      <c r="E248" s="7" t="s">
        <v>246</v>
      </c>
      <c r="F248" s="7" t="s">
        <v>30</v>
      </c>
      <c r="G248" s="7">
        <v>30</v>
      </c>
      <c r="H248" s="44">
        <v>1.7761033333333336</v>
      </c>
      <c r="I248" s="44">
        <v>53.2</v>
      </c>
      <c r="J248" s="44">
        <v>8.3099999999999993E-2</v>
      </c>
      <c r="K248" s="48">
        <f t="shared" si="30"/>
        <v>0.39996666666666664</v>
      </c>
      <c r="L248" s="48">
        <v>11.7</v>
      </c>
      <c r="M248" s="48">
        <v>0.29899999999999999</v>
      </c>
      <c r="N248" s="46">
        <f t="shared" si="31"/>
        <v>1506.0666666666666</v>
      </c>
      <c r="O248" s="46">
        <v>45000</v>
      </c>
      <c r="P248" s="46">
        <v>182</v>
      </c>
      <c r="Q248" s="7" t="s">
        <v>19</v>
      </c>
      <c r="R248" s="7" t="s">
        <v>268</v>
      </c>
      <c r="S248" s="8" t="s">
        <v>30</v>
      </c>
      <c r="T248" s="8" t="s">
        <v>2344</v>
      </c>
      <c r="U248" s="7" t="s">
        <v>657</v>
      </c>
      <c r="W248">
        <f>COUNTIF($A$157:A248,A248)</f>
        <v>10</v>
      </c>
      <c r="X248" t="s">
        <v>2267</v>
      </c>
      <c r="Y248">
        <f t="shared" si="23"/>
        <v>225</v>
      </c>
      <c r="Z248" t="str">
        <f t="shared" si="24"/>
        <v>D-10</v>
      </c>
      <c r="AB248">
        <v>302</v>
      </c>
      <c r="AC248" t="s">
        <v>2177</v>
      </c>
    </row>
    <row r="249" spans="1:29">
      <c r="A249" s="7" t="s">
        <v>689</v>
      </c>
      <c r="B249" s="7" t="str">
        <f>Texte!B248</f>
        <v xml:space="preserve">Ventilation habitation, canaux en PE, évacuation d'air cuisine inclue </v>
      </c>
      <c r="C249" s="7" t="s">
        <v>677</v>
      </c>
      <c r="D249" s="78" t="s">
        <v>659</v>
      </c>
      <c r="E249" s="7" t="s">
        <v>246</v>
      </c>
      <c r="F249" s="7" t="s">
        <v>30</v>
      </c>
      <c r="G249" s="7">
        <v>30</v>
      </c>
      <c r="H249" s="44">
        <v>1.0891433333333334</v>
      </c>
      <c r="I249" s="44">
        <v>32.6</v>
      </c>
      <c r="J249" s="44">
        <v>7.4300000000000005E-2</v>
      </c>
      <c r="K249" s="48">
        <f t="shared" si="30"/>
        <v>0.24413333333333334</v>
      </c>
      <c r="L249" s="48">
        <v>6.6</v>
      </c>
      <c r="M249" s="48">
        <v>0.72399999999999998</v>
      </c>
      <c r="N249" s="46">
        <f t="shared" si="31"/>
        <v>732.36666666666667</v>
      </c>
      <c r="O249" s="46">
        <v>21600</v>
      </c>
      <c r="P249" s="46">
        <v>371</v>
      </c>
      <c r="Q249" s="7" t="s">
        <v>19</v>
      </c>
      <c r="R249" s="7" t="s">
        <v>268</v>
      </c>
      <c r="S249" s="8" t="s">
        <v>30</v>
      </c>
      <c r="T249" s="8" t="s">
        <v>2344</v>
      </c>
      <c r="U249" s="7" t="s">
        <v>657</v>
      </c>
      <c r="W249">
        <f>COUNTIF($A$157:A249,A249)</f>
        <v>11</v>
      </c>
      <c r="X249" t="s">
        <v>2268</v>
      </c>
      <c r="Y249">
        <f t="shared" si="23"/>
        <v>226</v>
      </c>
      <c r="Z249" t="str">
        <f t="shared" si="24"/>
        <v>D-11</v>
      </c>
      <c r="AB249">
        <v>303</v>
      </c>
      <c r="AC249" t="s">
        <v>2180</v>
      </c>
    </row>
    <row r="250" spans="1:29">
      <c r="A250" s="7" t="s">
        <v>689</v>
      </c>
      <c r="B250" s="7" t="str">
        <f>Texte!B249</f>
        <v>Ventilation bureau, besoins en air 6 m3/hm2 SRE</v>
      </c>
      <c r="C250" s="7" t="s">
        <v>674</v>
      </c>
      <c r="D250" s="78" t="s">
        <v>659</v>
      </c>
      <c r="E250" s="7" t="s">
        <v>246</v>
      </c>
      <c r="F250" s="7" t="s">
        <v>30</v>
      </c>
      <c r="G250" s="7">
        <v>30</v>
      </c>
      <c r="H250" s="44">
        <v>4.9866999999999999</v>
      </c>
      <c r="I250" s="44">
        <v>149</v>
      </c>
      <c r="J250" s="44">
        <v>0.60099999999999998</v>
      </c>
      <c r="K250" s="48">
        <f t="shared" si="30"/>
        <v>1.1580000000000001</v>
      </c>
      <c r="L250" s="48">
        <v>33.700000000000003</v>
      </c>
      <c r="M250" s="48">
        <v>1.04</v>
      </c>
      <c r="N250" s="46">
        <f t="shared" si="31"/>
        <v>2895.5333333333333</v>
      </c>
      <c r="O250" s="46">
        <v>86200</v>
      </c>
      <c r="P250" s="46">
        <v>666</v>
      </c>
      <c r="Q250" s="7" t="s">
        <v>19</v>
      </c>
      <c r="R250" s="7" t="s">
        <v>268</v>
      </c>
      <c r="S250" s="8" t="s">
        <v>30</v>
      </c>
      <c r="T250" s="8" t="s">
        <v>2344</v>
      </c>
      <c r="U250" s="7" t="s">
        <v>657</v>
      </c>
      <c r="W250">
        <f>COUNTIF($A$157:A250,A250)</f>
        <v>12</v>
      </c>
      <c r="X250" t="s">
        <v>2269</v>
      </c>
      <c r="Y250">
        <f t="shared" si="23"/>
        <v>227</v>
      </c>
      <c r="Z250" t="str">
        <f t="shared" si="24"/>
        <v>D-12</v>
      </c>
      <c r="AB250">
        <v>304</v>
      </c>
      <c r="AC250" t="s">
        <v>2179</v>
      </c>
    </row>
    <row r="251" spans="1:29">
      <c r="A251" s="7" t="s">
        <v>689</v>
      </c>
      <c r="B251" s="7" t="str">
        <f>Texte!B250</f>
        <v>Installations sanitaires, bureau, degré de complexité élevé, appareils et conduites compris</v>
      </c>
      <c r="C251" s="7" t="s">
        <v>680</v>
      </c>
      <c r="D251" s="78" t="s">
        <v>659</v>
      </c>
      <c r="E251" s="7" t="s">
        <v>246</v>
      </c>
      <c r="F251" s="7" t="s">
        <v>30</v>
      </c>
      <c r="G251" s="7">
        <v>30</v>
      </c>
      <c r="H251" s="44">
        <v>1.5559333333333334</v>
      </c>
      <c r="I251" s="44">
        <v>46.2</v>
      </c>
      <c r="J251" s="44">
        <v>0.47799999999999998</v>
      </c>
      <c r="K251" s="48">
        <f t="shared" si="30"/>
        <v>0.39366666666666666</v>
      </c>
      <c r="L251" s="48">
        <v>8.0500000000000007</v>
      </c>
      <c r="M251" s="48">
        <v>3.76</v>
      </c>
      <c r="N251" s="46">
        <f t="shared" si="31"/>
        <v>621.66666666666663</v>
      </c>
      <c r="O251" s="46">
        <v>16700</v>
      </c>
      <c r="P251" s="46">
        <v>1950</v>
      </c>
      <c r="Q251" s="7" t="s">
        <v>19</v>
      </c>
      <c r="R251" s="7" t="s">
        <v>268</v>
      </c>
      <c r="S251" s="8" t="s">
        <v>30</v>
      </c>
      <c r="T251" s="8" t="s">
        <v>2346</v>
      </c>
      <c r="U251" s="7" t="s">
        <v>657</v>
      </c>
      <c r="W251">
        <f>COUNTIF($A$157:A251,A251)</f>
        <v>13</v>
      </c>
      <c r="X251" t="s">
        <v>2270</v>
      </c>
      <c r="Y251">
        <f t="shared" si="23"/>
        <v>228</v>
      </c>
      <c r="Z251" t="str">
        <f t="shared" si="24"/>
        <v>D-13</v>
      </c>
      <c r="AB251">
        <v>308</v>
      </c>
      <c r="AC251" t="s">
        <v>2062</v>
      </c>
    </row>
    <row r="252" spans="1:29">
      <c r="A252" s="7" t="s">
        <v>689</v>
      </c>
      <c r="B252" s="7" t="str">
        <f>Texte!B251</f>
        <v>Installations sanitaires, bureau, degré de complexité faible, appareils et conduites compris</v>
      </c>
      <c r="C252" s="7" t="s">
        <v>679</v>
      </c>
      <c r="D252" s="78" t="s">
        <v>659</v>
      </c>
      <c r="E252" s="7" t="s">
        <v>246</v>
      </c>
      <c r="F252" s="7" t="s">
        <v>30</v>
      </c>
      <c r="G252" s="7">
        <v>30</v>
      </c>
      <c r="H252" s="44">
        <v>0.65123333333333333</v>
      </c>
      <c r="I252" s="44">
        <v>19.399999999999999</v>
      </c>
      <c r="J252" s="44">
        <v>0.13700000000000001</v>
      </c>
      <c r="K252" s="48">
        <f t="shared" si="30"/>
        <v>0.14933333333333335</v>
      </c>
      <c r="L252" s="48">
        <v>3.33</v>
      </c>
      <c r="M252" s="48">
        <v>1.1499999999999999</v>
      </c>
      <c r="N252" s="46">
        <f t="shared" si="31"/>
        <v>232.56666666666666</v>
      </c>
      <c r="O252" s="46">
        <v>6390</v>
      </c>
      <c r="P252" s="46">
        <v>587</v>
      </c>
      <c r="Q252" s="7" t="s">
        <v>19</v>
      </c>
      <c r="R252" s="7" t="s">
        <v>268</v>
      </c>
      <c r="S252" s="8" t="s">
        <v>30</v>
      </c>
      <c r="T252" s="8" t="s">
        <v>2346</v>
      </c>
      <c r="U252" s="7" t="s">
        <v>657</v>
      </c>
      <c r="W252">
        <f>COUNTIF($A$157:A252,A252)</f>
        <v>14</v>
      </c>
      <c r="X252" t="s">
        <v>2271</v>
      </c>
      <c r="Y252">
        <f t="shared" si="23"/>
        <v>229</v>
      </c>
      <c r="Z252" t="str">
        <f t="shared" si="24"/>
        <v>D-14</v>
      </c>
      <c r="AB252">
        <v>309</v>
      </c>
      <c r="AC252" t="s">
        <v>2075</v>
      </c>
    </row>
    <row r="253" spans="1:29">
      <c r="A253" s="7" t="s">
        <v>689</v>
      </c>
      <c r="B253" s="7" t="str">
        <f>Texte!B252</f>
        <v>Installations sanitaires, habitations, appareils et conduites compris</v>
      </c>
      <c r="C253" s="7" t="s">
        <v>681</v>
      </c>
      <c r="D253" s="78" t="s">
        <v>659</v>
      </c>
      <c r="E253" s="7" t="s">
        <v>246</v>
      </c>
      <c r="F253" s="7" t="s">
        <v>30</v>
      </c>
      <c r="G253" s="7">
        <v>30</v>
      </c>
      <c r="H253" s="44">
        <v>1.6179000000000001</v>
      </c>
      <c r="I253" s="44">
        <v>48.2</v>
      </c>
      <c r="J253" s="44">
        <v>0.33700000000000002</v>
      </c>
      <c r="K253" s="48">
        <f t="shared" si="30"/>
        <v>0.37866666666666671</v>
      </c>
      <c r="L253" s="48">
        <v>9.81</v>
      </c>
      <c r="M253" s="48">
        <v>1.55</v>
      </c>
      <c r="N253" s="46">
        <f t="shared" si="31"/>
        <v>801.1</v>
      </c>
      <c r="O253" s="46">
        <v>23200</v>
      </c>
      <c r="P253" s="46">
        <v>833</v>
      </c>
      <c r="Q253" s="7" t="s">
        <v>19</v>
      </c>
      <c r="R253" s="7" t="s">
        <v>268</v>
      </c>
      <c r="S253" s="8" t="s">
        <v>30</v>
      </c>
      <c r="T253" s="8" t="s">
        <v>2346</v>
      </c>
      <c r="U253" s="7" t="s">
        <v>657</v>
      </c>
      <c r="W253">
        <f>COUNTIF($A$157:A253,A253)</f>
        <v>15</v>
      </c>
      <c r="X253" t="s">
        <v>2272</v>
      </c>
      <c r="Y253">
        <f t="shared" si="23"/>
        <v>230</v>
      </c>
      <c r="Z253" t="str">
        <f t="shared" si="24"/>
        <v>D-15</v>
      </c>
      <c r="AB253">
        <v>310</v>
      </c>
      <c r="AC253" t="s">
        <v>2073</v>
      </c>
    </row>
    <row r="254" spans="1:29">
      <c r="A254" s="7" t="s">
        <v>689</v>
      </c>
      <c r="B254" s="7" t="str">
        <f>Texte!B253</f>
        <v>Installation photovoltaïque façade</v>
      </c>
      <c r="C254" s="41" t="s">
        <v>686</v>
      </c>
      <c r="D254" s="78" t="s">
        <v>659</v>
      </c>
      <c r="E254" s="7" t="s">
        <v>658</v>
      </c>
      <c r="F254" s="7" t="s">
        <v>247</v>
      </c>
      <c r="G254" s="7">
        <v>30</v>
      </c>
      <c r="H254" s="44">
        <v>248.66666666666666</v>
      </c>
      <c r="I254" s="44">
        <v>7460</v>
      </c>
      <c r="J254" s="45">
        <v>0</v>
      </c>
      <c r="K254" s="48">
        <f t="shared" si="30"/>
        <v>71.333333333333329</v>
      </c>
      <c r="L254" s="48">
        <v>2140</v>
      </c>
      <c r="M254" s="49">
        <v>0</v>
      </c>
      <c r="N254" s="46">
        <f t="shared" si="31"/>
        <v>105666.66666666667</v>
      </c>
      <c r="O254" s="46">
        <v>3170000</v>
      </c>
      <c r="P254" s="51">
        <v>0</v>
      </c>
      <c r="Q254" s="7" t="s">
        <v>19</v>
      </c>
      <c r="R254" s="7"/>
      <c r="S254" s="8" t="s">
        <v>30</v>
      </c>
      <c r="T254" s="8" t="s">
        <v>2349</v>
      </c>
      <c r="U254" s="7" t="s">
        <v>657</v>
      </c>
      <c r="W254">
        <f>COUNTIF($A$157:A254,A254)</f>
        <v>16</v>
      </c>
      <c r="X254" t="s">
        <v>2273</v>
      </c>
      <c r="Y254">
        <f t="shared" si="23"/>
        <v>231</v>
      </c>
      <c r="Z254" t="str">
        <f t="shared" si="24"/>
        <v>D-16</v>
      </c>
      <c r="AB254">
        <v>311</v>
      </c>
      <c r="AC254" t="s">
        <v>2074</v>
      </c>
    </row>
    <row r="255" spans="1:29">
      <c r="A255" s="7" t="s">
        <v>689</v>
      </c>
      <c r="B255" s="7" t="str">
        <f>Texte!B254</f>
        <v>Installation photovoltaïque toiture plate</v>
      </c>
      <c r="C255" s="41" t="s">
        <v>685</v>
      </c>
      <c r="D255" s="78" t="s">
        <v>659</v>
      </c>
      <c r="E255" s="7" t="s">
        <v>658</v>
      </c>
      <c r="F255" s="7" t="s">
        <v>247</v>
      </c>
      <c r="G255" s="7">
        <v>30</v>
      </c>
      <c r="H255" s="44">
        <v>267.33333333333331</v>
      </c>
      <c r="I255" s="44">
        <v>8020</v>
      </c>
      <c r="J255" s="45">
        <v>0</v>
      </c>
      <c r="K255" s="48">
        <f t="shared" si="30"/>
        <v>77.333333333333329</v>
      </c>
      <c r="L255" s="48">
        <v>2320</v>
      </c>
      <c r="M255" s="49">
        <v>0</v>
      </c>
      <c r="N255" s="46">
        <f t="shared" si="31"/>
        <v>102333.33333333333</v>
      </c>
      <c r="O255" s="46">
        <v>3070000</v>
      </c>
      <c r="P255" s="51">
        <v>0</v>
      </c>
      <c r="Q255" s="7" t="s">
        <v>19</v>
      </c>
      <c r="R255" s="7"/>
      <c r="S255" s="8" t="s">
        <v>30</v>
      </c>
      <c r="T255" s="8" t="s">
        <v>2349</v>
      </c>
      <c r="U255" s="7" t="s">
        <v>657</v>
      </c>
      <c r="W255">
        <f>COUNTIF($A$157:A255,A255)</f>
        <v>17</v>
      </c>
      <c r="X255" t="s">
        <v>2274</v>
      </c>
      <c r="Y255">
        <f t="shared" si="23"/>
        <v>232</v>
      </c>
      <c r="Z255" t="str">
        <f t="shared" si="24"/>
        <v>D-17</v>
      </c>
      <c r="AB255">
        <v>312</v>
      </c>
      <c r="AC255" t="s">
        <v>2072</v>
      </c>
    </row>
    <row r="256" spans="1:29">
      <c r="A256" s="7" t="s">
        <v>689</v>
      </c>
      <c r="B256" s="7" t="str">
        <f>Texte!B255</f>
        <v>Installation photovoltaïque toiture inclinée</v>
      </c>
      <c r="C256" s="41" t="s">
        <v>684</v>
      </c>
      <c r="D256" s="78" t="s">
        <v>659</v>
      </c>
      <c r="E256" s="7" t="s">
        <v>658</v>
      </c>
      <c r="F256" s="7" t="s">
        <v>247</v>
      </c>
      <c r="G256" s="7">
        <v>30</v>
      </c>
      <c r="H256" s="44">
        <v>243</v>
      </c>
      <c r="I256" s="44">
        <v>7290</v>
      </c>
      <c r="J256" s="45">
        <v>0</v>
      </c>
      <c r="K256" s="48">
        <f t="shared" si="30"/>
        <v>67.666666666666671</v>
      </c>
      <c r="L256" s="48">
        <v>2030</v>
      </c>
      <c r="M256" s="49">
        <v>0</v>
      </c>
      <c r="N256" s="46">
        <f t="shared" si="31"/>
        <v>106333.33333333333</v>
      </c>
      <c r="O256" s="46">
        <v>3190000</v>
      </c>
      <c r="P256" s="51">
        <v>0</v>
      </c>
      <c r="Q256" s="7" t="s">
        <v>19</v>
      </c>
      <c r="R256" s="7"/>
      <c r="S256" s="8" t="s">
        <v>30</v>
      </c>
      <c r="T256" s="8" t="s">
        <v>2349</v>
      </c>
      <c r="U256" s="7" t="s">
        <v>657</v>
      </c>
      <c r="W256">
        <f>COUNTIF($A$157:A256,A256)</f>
        <v>18</v>
      </c>
      <c r="X256" t="s">
        <v>2275</v>
      </c>
      <c r="Y256">
        <f t="shared" si="23"/>
        <v>233</v>
      </c>
      <c r="Z256" t="str">
        <f t="shared" si="24"/>
        <v>D-18</v>
      </c>
      <c r="AB256">
        <v>313</v>
      </c>
      <c r="AC256" t="s">
        <v>2107</v>
      </c>
    </row>
    <row r="257" spans="1:29">
      <c r="A257" s="7" t="s">
        <v>689</v>
      </c>
      <c r="B257" s="7" t="str">
        <f>Texte!B256</f>
        <v>Diffusion de chaleur par chauffage au sol</v>
      </c>
      <c r="C257" s="7" t="s">
        <v>666</v>
      </c>
      <c r="D257" s="78" t="s">
        <v>659</v>
      </c>
      <c r="E257" s="7" t="s">
        <v>246</v>
      </c>
      <c r="F257" s="7" t="s">
        <v>30</v>
      </c>
      <c r="G257" s="7">
        <v>30</v>
      </c>
      <c r="H257" s="44">
        <v>0.74305666666666659</v>
      </c>
      <c r="I257" s="43">
        <v>22.2</v>
      </c>
      <c r="J257" s="43">
        <v>9.1700000000000004E-2</v>
      </c>
      <c r="K257" s="48">
        <f t="shared" si="30"/>
        <v>0.16866666666666669</v>
      </c>
      <c r="L257" s="47">
        <v>3.02</v>
      </c>
      <c r="M257" s="47">
        <v>2.04</v>
      </c>
      <c r="N257" s="46">
        <f t="shared" si="31"/>
        <v>134.56666666666666</v>
      </c>
      <c r="O257" s="50">
        <v>3040</v>
      </c>
      <c r="P257" s="50">
        <v>997</v>
      </c>
      <c r="Q257" s="7" t="s">
        <v>19</v>
      </c>
      <c r="R257" s="7" t="s">
        <v>268</v>
      </c>
      <c r="S257" s="8" t="s">
        <v>30</v>
      </c>
      <c r="T257" s="8" t="s">
        <v>2351</v>
      </c>
      <c r="U257" s="7" t="s">
        <v>657</v>
      </c>
      <c r="W257">
        <f>COUNTIF($A$157:A257,A257)</f>
        <v>19</v>
      </c>
      <c r="X257" t="s">
        <v>2276</v>
      </c>
      <c r="Y257">
        <f t="shared" si="23"/>
        <v>234</v>
      </c>
      <c r="Z257" t="str">
        <f t="shared" si="24"/>
        <v>D-19</v>
      </c>
      <c r="AB257">
        <v>314</v>
      </c>
      <c r="AC257" t="s">
        <v>2123</v>
      </c>
    </row>
    <row r="258" spans="1:29">
      <c r="A258" s="7" t="s">
        <v>689</v>
      </c>
      <c r="B258" s="7" t="str">
        <f>Texte!B257</f>
        <v>Diffusion de chaleur par corps de chauffe</v>
      </c>
      <c r="C258" s="7" t="s">
        <v>665</v>
      </c>
      <c r="D258" s="78" t="s">
        <v>659</v>
      </c>
      <c r="E258" s="7" t="s">
        <v>246</v>
      </c>
      <c r="F258" s="7" t="s">
        <v>30</v>
      </c>
      <c r="G258" s="7">
        <v>30</v>
      </c>
      <c r="H258" s="44">
        <v>0.75783999999999996</v>
      </c>
      <c r="I258" s="43">
        <v>22.7</v>
      </c>
      <c r="J258" s="43">
        <v>3.5200000000000002E-2</v>
      </c>
      <c r="K258" s="48">
        <f t="shared" si="30"/>
        <v>0.18209000000000003</v>
      </c>
      <c r="L258" s="47">
        <v>5.44</v>
      </c>
      <c r="M258" s="47">
        <v>2.2700000000000001E-2</v>
      </c>
      <c r="N258" s="46">
        <f t="shared" si="31"/>
        <v>340.59666666666664</v>
      </c>
      <c r="O258" s="50">
        <v>10200</v>
      </c>
      <c r="P258" s="50">
        <v>17.899999999999999</v>
      </c>
      <c r="Q258" s="7" t="s">
        <v>19</v>
      </c>
      <c r="R258" s="7" t="s">
        <v>268</v>
      </c>
      <c r="S258" s="8" t="s">
        <v>30</v>
      </c>
      <c r="T258" s="8" t="s">
        <v>2351</v>
      </c>
      <c r="U258" s="7" t="s">
        <v>657</v>
      </c>
      <c r="W258">
        <f>COUNTIF($A$157:A258,A258)</f>
        <v>20</v>
      </c>
      <c r="X258" t="s">
        <v>2277</v>
      </c>
      <c r="Y258">
        <f t="shared" si="23"/>
        <v>235</v>
      </c>
      <c r="Z258" t="str">
        <f t="shared" si="24"/>
        <v>D-20</v>
      </c>
      <c r="AB258">
        <v>315</v>
      </c>
      <c r="AC258" t="s">
        <v>2125</v>
      </c>
    </row>
    <row r="259" spans="1:29">
      <c r="A259" s="7" t="s">
        <v>689</v>
      </c>
      <c r="B259" s="7" t="str">
        <f>Texte!B258</f>
        <v>Diffusion de chaleur par système de chauffage et refroidissement au plafond (pas de faux-plafond en plâtre ou en métal)</v>
      </c>
      <c r="C259" s="7" t="s">
        <v>667</v>
      </c>
      <c r="D259" s="78" t="s">
        <v>659</v>
      </c>
      <c r="E259" s="7" t="s">
        <v>246</v>
      </c>
      <c r="F259" s="7" t="s">
        <v>30</v>
      </c>
      <c r="G259" s="7">
        <v>30</v>
      </c>
      <c r="H259" s="44">
        <v>0.87768666666666673</v>
      </c>
      <c r="I259" s="43">
        <v>26.3</v>
      </c>
      <c r="J259" s="43">
        <v>3.0599999999999999E-2</v>
      </c>
      <c r="K259" s="48">
        <f t="shared" si="30"/>
        <v>0.19246666666666667</v>
      </c>
      <c r="L259" s="47">
        <v>5.64</v>
      </c>
      <c r="M259" s="47">
        <v>0.13400000000000001</v>
      </c>
      <c r="N259" s="46">
        <f t="shared" si="31"/>
        <v>1315.68</v>
      </c>
      <c r="O259" s="50">
        <v>39400</v>
      </c>
      <c r="P259" s="50">
        <v>70.400000000000006</v>
      </c>
      <c r="Q259" s="7" t="s">
        <v>19</v>
      </c>
      <c r="R259" s="7" t="s">
        <v>268</v>
      </c>
      <c r="S259" s="8" t="s">
        <v>30</v>
      </c>
      <c r="T259" s="8" t="s">
        <v>2351</v>
      </c>
      <c r="U259" s="7" t="s">
        <v>657</v>
      </c>
      <c r="W259">
        <f>COUNTIF($A$157:A259,A259)</f>
        <v>21</v>
      </c>
      <c r="X259" t="s">
        <v>2278</v>
      </c>
      <c r="Y259">
        <f t="shared" si="23"/>
        <v>236</v>
      </c>
      <c r="Z259" t="str">
        <f t="shared" si="24"/>
        <v>D-21</v>
      </c>
      <c r="AB259">
        <v>316</v>
      </c>
      <c r="AC259" t="s">
        <v>2124</v>
      </c>
    </row>
    <row r="260" spans="1:29">
      <c r="A260" s="7" t="s">
        <v>689</v>
      </c>
      <c r="B260" s="7" t="str">
        <f>Texte!B259</f>
        <v>Production de chaleur, besoins en puissance 10 W/m2</v>
      </c>
      <c r="C260" s="7" t="s">
        <v>660</v>
      </c>
      <c r="D260" s="78" t="s">
        <v>659</v>
      </c>
      <c r="E260" s="7" t="s">
        <v>246</v>
      </c>
      <c r="F260" s="7" t="s">
        <v>30</v>
      </c>
      <c r="G260" s="7">
        <v>20</v>
      </c>
      <c r="H260" s="44">
        <v>0.11390499999999999</v>
      </c>
      <c r="I260" s="43">
        <v>2.2599999999999998</v>
      </c>
      <c r="J260" s="43">
        <v>1.8100000000000002E-2</v>
      </c>
      <c r="K260" s="48">
        <f t="shared" si="30"/>
        <v>2.5595E-2</v>
      </c>
      <c r="L260" s="47">
        <v>0.501</v>
      </c>
      <c r="M260" s="47">
        <v>1.09E-2</v>
      </c>
      <c r="N260" s="46">
        <f t="shared" si="31"/>
        <v>60.029999999999994</v>
      </c>
      <c r="O260" s="50">
        <v>1190</v>
      </c>
      <c r="P260" s="50">
        <v>10.6</v>
      </c>
      <c r="Q260" s="7" t="s">
        <v>19</v>
      </c>
      <c r="R260" s="7" t="s">
        <v>268</v>
      </c>
      <c r="S260" s="8" t="s">
        <v>30</v>
      </c>
      <c r="T260" s="8" t="s">
        <v>2352</v>
      </c>
      <c r="U260" s="7" t="s">
        <v>657</v>
      </c>
      <c r="W260">
        <f>COUNTIF($A$157:A260,A260)</f>
        <v>22</v>
      </c>
      <c r="X260" t="s">
        <v>2279</v>
      </c>
      <c r="Y260">
        <f t="shared" si="23"/>
        <v>237</v>
      </c>
      <c r="Z260" t="str">
        <f t="shared" si="24"/>
        <v>D-22</v>
      </c>
      <c r="AB260">
        <v>317</v>
      </c>
      <c r="AC260" t="s">
        <v>2122</v>
      </c>
    </row>
    <row r="261" spans="1:29">
      <c r="A261" s="7" t="s">
        <v>689</v>
      </c>
      <c r="B261" s="7" t="str">
        <f>Texte!B260</f>
        <v>Production de chaleur, besoins en puissance 30 W/m2</v>
      </c>
      <c r="C261" s="7" t="s">
        <v>661</v>
      </c>
      <c r="D261" s="78" t="s">
        <v>659</v>
      </c>
      <c r="E261" s="7" t="s">
        <v>246</v>
      </c>
      <c r="F261" s="7" t="s">
        <v>30</v>
      </c>
      <c r="G261" s="7">
        <v>20</v>
      </c>
      <c r="H261" s="44">
        <v>0.34172000000000002</v>
      </c>
      <c r="I261" s="43">
        <v>6.78</v>
      </c>
      <c r="J261" s="43">
        <v>5.4399999999999997E-2</v>
      </c>
      <c r="K261" s="48">
        <f t="shared" si="30"/>
        <v>7.6634999999999995E-2</v>
      </c>
      <c r="L261" s="47">
        <v>1.5</v>
      </c>
      <c r="M261" s="47">
        <v>3.27E-2</v>
      </c>
      <c r="N261" s="46">
        <f t="shared" si="31"/>
        <v>179.59</v>
      </c>
      <c r="O261" s="50">
        <v>3560</v>
      </c>
      <c r="P261" s="50">
        <v>31.8</v>
      </c>
      <c r="Q261" s="7" t="s">
        <v>19</v>
      </c>
      <c r="R261" s="7" t="s">
        <v>268</v>
      </c>
      <c r="S261" s="8" t="s">
        <v>30</v>
      </c>
      <c r="T261" s="8" t="s">
        <v>2352</v>
      </c>
      <c r="U261" s="7" t="s">
        <v>657</v>
      </c>
      <c r="W261">
        <f>COUNTIF($A$157:A261,A261)</f>
        <v>23</v>
      </c>
      <c r="X261" t="s">
        <v>2280</v>
      </c>
      <c r="Y261">
        <f t="shared" si="23"/>
        <v>238</v>
      </c>
      <c r="Z261" t="str">
        <f t="shared" si="24"/>
        <v>D-23</v>
      </c>
      <c r="AB261">
        <v>318</v>
      </c>
      <c r="AC261" t="s">
        <v>2130</v>
      </c>
    </row>
    <row r="262" spans="1:29">
      <c r="A262" s="7" t="s">
        <v>689</v>
      </c>
      <c r="B262" s="7" t="str">
        <f>Texte!B261</f>
        <v>Production de chaleur, besoins en puissance 50 W/m2</v>
      </c>
      <c r="C262" s="7" t="s">
        <v>662</v>
      </c>
      <c r="D262" s="78" t="s">
        <v>659</v>
      </c>
      <c r="E262" s="7" t="s">
        <v>246</v>
      </c>
      <c r="F262" s="7" t="s">
        <v>30</v>
      </c>
      <c r="G262" s="7">
        <v>20</v>
      </c>
      <c r="H262" s="44">
        <v>0.56953000000000009</v>
      </c>
      <c r="I262" s="43">
        <v>11.3</v>
      </c>
      <c r="J262" s="43">
        <v>9.06E-2</v>
      </c>
      <c r="K262" s="48">
        <f t="shared" si="30"/>
        <v>0.12772500000000001</v>
      </c>
      <c r="L262" s="47">
        <v>2.5</v>
      </c>
      <c r="M262" s="47">
        <v>5.45E-2</v>
      </c>
      <c r="N262" s="46">
        <f t="shared" si="31"/>
        <v>299.14999999999998</v>
      </c>
      <c r="O262" s="50">
        <v>5930</v>
      </c>
      <c r="P262" s="50">
        <v>53</v>
      </c>
      <c r="Q262" s="7" t="s">
        <v>19</v>
      </c>
      <c r="R262" s="7" t="s">
        <v>268</v>
      </c>
      <c r="S262" s="8" t="s">
        <v>30</v>
      </c>
      <c r="T262" s="8" t="s">
        <v>2352</v>
      </c>
      <c r="U262" s="7" t="s">
        <v>657</v>
      </c>
      <c r="W262">
        <f>COUNTIF($A$157:A262,A262)</f>
        <v>24</v>
      </c>
      <c r="X262" t="s">
        <v>2281</v>
      </c>
      <c r="Y262">
        <f t="shared" si="23"/>
        <v>239</v>
      </c>
      <c r="Z262" t="str">
        <f t="shared" si="24"/>
        <v>D-24</v>
      </c>
      <c r="AB262">
        <v>319</v>
      </c>
      <c r="AC262" t="s">
        <v>2133</v>
      </c>
    </row>
    <row r="263" spans="1:29">
      <c r="A263" s="7" t="s">
        <v>689</v>
      </c>
      <c r="B263" s="7" t="str">
        <f>Texte!B262</f>
        <v>Distribution de chaleur, administration</v>
      </c>
      <c r="C263" s="7" t="s">
        <v>664</v>
      </c>
      <c r="D263" s="78" t="s">
        <v>659</v>
      </c>
      <c r="E263" s="7" t="s">
        <v>246</v>
      </c>
      <c r="F263" s="7" t="s">
        <v>30</v>
      </c>
      <c r="G263" s="7">
        <v>30</v>
      </c>
      <c r="H263" s="44">
        <v>1.0896666666666666</v>
      </c>
      <c r="I263" s="43">
        <v>29.9</v>
      </c>
      <c r="J263" s="43">
        <v>2.79</v>
      </c>
      <c r="K263" s="48">
        <f t="shared" si="30"/>
        <v>0.25399999999999995</v>
      </c>
      <c r="L263" s="47">
        <v>6.56</v>
      </c>
      <c r="M263" s="47">
        <v>1.06</v>
      </c>
      <c r="N263" s="46">
        <f t="shared" si="31"/>
        <v>499.66666666666669</v>
      </c>
      <c r="O263" s="50">
        <v>13900</v>
      </c>
      <c r="P263" s="50">
        <v>1090</v>
      </c>
      <c r="Q263" s="7" t="s">
        <v>19</v>
      </c>
      <c r="R263" s="7" t="s">
        <v>268</v>
      </c>
      <c r="S263" s="8" t="s">
        <v>30</v>
      </c>
      <c r="T263" s="8" t="s">
        <v>2350</v>
      </c>
      <c r="U263" s="7" t="s">
        <v>657</v>
      </c>
      <c r="W263">
        <f>COUNTIF($A$157:A263,A263)</f>
        <v>25</v>
      </c>
      <c r="X263" t="s">
        <v>2282</v>
      </c>
      <c r="Y263">
        <f t="shared" si="23"/>
        <v>240</v>
      </c>
      <c r="Z263" t="str">
        <f t="shared" si="24"/>
        <v>D-25</v>
      </c>
      <c r="AB263">
        <v>320</v>
      </c>
      <c r="AC263" t="s">
        <v>2131</v>
      </c>
    </row>
    <row r="264" spans="1:29">
      <c r="A264" s="7" t="s">
        <v>689</v>
      </c>
      <c r="B264" s="7" t="str">
        <f>Texte!B263</f>
        <v>Distribution et diffusion de chaleur, chauffage à air chaud</v>
      </c>
      <c r="C264" s="7" t="s">
        <v>668</v>
      </c>
      <c r="D264" s="78" t="s">
        <v>659</v>
      </c>
      <c r="E264" s="7" t="s">
        <v>246</v>
      </c>
      <c r="F264" s="7" t="s">
        <v>30</v>
      </c>
      <c r="G264" s="7">
        <v>30</v>
      </c>
      <c r="H264" s="44">
        <v>0.26521600000000001</v>
      </c>
      <c r="I264" s="43">
        <v>7.95</v>
      </c>
      <c r="J264" s="43">
        <v>6.4799999999999996E-3</v>
      </c>
      <c r="K264" s="48">
        <f t="shared" si="30"/>
        <v>5.657333333333333E-2</v>
      </c>
      <c r="L264" s="47">
        <v>1.63</v>
      </c>
      <c r="M264" s="47">
        <v>6.7199999999999996E-2</v>
      </c>
      <c r="N264" s="46">
        <f t="shared" si="31"/>
        <v>98.11999999999999</v>
      </c>
      <c r="O264" s="50">
        <v>2910</v>
      </c>
      <c r="P264" s="50">
        <v>33.6</v>
      </c>
      <c r="Q264" s="7" t="s">
        <v>19</v>
      </c>
      <c r="R264" s="7" t="s">
        <v>268</v>
      </c>
      <c r="S264" s="8" t="s">
        <v>30</v>
      </c>
      <c r="T264" s="8" t="s">
        <v>2350</v>
      </c>
      <c r="U264" s="7" t="s">
        <v>657</v>
      </c>
      <c r="W264">
        <f>COUNTIF($A$157:A264,A264)</f>
        <v>26</v>
      </c>
      <c r="X264" t="s">
        <v>2283</v>
      </c>
      <c r="Y264">
        <f t="shared" si="23"/>
        <v>241</v>
      </c>
      <c r="Z264" t="str">
        <f t="shared" si="24"/>
        <v>D-26</v>
      </c>
      <c r="AB264">
        <v>321</v>
      </c>
      <c r="AC264" t="s">
        <v>2129</v>
      </c>
    </row>
    <row r="265" spans="1:29">
      <c r="A265" s="7" t="s">
        <v>689</v>
      </c>
      <c r="B265" s="7" t="str">
        <f>Texte!B264</f>
        <v>Distribution de chaleur, habitation</v>
      </c>
      <c r="C265" s="7" t="s">
        <v>663</v>
      </c>
      <c r="D265" s="78" t="s">
        <v>659</v>
      </c>
      <c r="E265" s="7" t="s">
        <v>246</v>
      </c>
      <c r="F265" s="7" t="s">
        <v>30</v>
      </c>
      <c r="G265" s="7">
        <v>30</v>
      </c>
      <c r="H265" s="44">
        <v>0.47766666666666668</v>
      </c>
      <c r="I265" s="43">
        <v>12</v>
      </c>
      <c r="J265" s="43">
        <v>2.33</v>
      </c>
      <c r="K265" s="48">
        <f t="shared" si="30"/>
        <v>0.10213333333333334</v>
      </c>
      <c r="L265" s="47">
        <v>2.39</v>
      </c>
      <c r="M265" s="47">
        <v>0.67400000000000004</v>
      </c>
      <c r="N265" s="46">
        <f t="shared" si="31"/>
        <v>182.56666666666666</v>
      </c>
      <c r="O265" s="50">
        <v>4670</v>
      </c>
      <c r="P265" s="50">
        <v>807</v>
      </c>
      <c r="Q265" s="7" t="s">
        <v>19</v>
      </c>
      <c r="R265" s="7" t="s">
        <v>268</v>
      </c>
      <c r="S265" s="8" t="s">
        <v>30</v>
      </c>
      <c r="T265" s="8" t="s">
        <v>2350</v>
      </c>
      <c r="U265" s="7" t="s">
        <v>657</v>
      </c>
      <c r="W265">
        <f>COUNTIF($A$157:A265,A265)</f>
        <v>27</v>
      </c>
      <c r="X265" t="s">
        <v>2284</v>
      </c>
      <c r="Y265">
        <f t="shared" si="23"/>
        <v>242</v>
      </c>
      <c r="Z265" t="str">
        <f t="shared" si="24"/>
        <v>D-27</v>
      </c>
      <c r="AB265">
        <v>322</v>
      </c>
      <c r="AC265" t="s">
        <v>2132</v>
      </c>
    </row>
    <row r="266" spans="1:29">
      <c r="A266" s="8" t="s">
        <v>689</v>
      </c>
      <c r="B266" s="7" t="str">
        <f>Texte!B322</f>
        <v>Système d'évacuation d'air de la cuisine et de la salle de bain (SIA 2032)</v>
      </c>
      <c r="C266" s="8"/>
      <c r="D266" s="75"/>
      <c r="E266" s="8" t="s">
        <v>246</v>
      </c>
      <c r="F266" s="8" t="s">
        <v>30</v>
      </c>
      <c r="G266" s="8">
        <v>30</v>
      </c>
      <c r="H266" s="44">
        <v>0.50388333333333335</v>
      </c>
      <c r="I266" s="44">
        <v>15.1</v>
      </c>
      <c r="J266" s="44">
        <v>1.6500000000000001E-2</v>
      </c>
      <c r="K266" s="48">
        <v>0.11353333333333332</v>
      </c>
      <c r="L266" s="53">
        <v>3.28</v>
      </c>
      <c r="M266" s="53">
        <v>0.126</v>
      </c>
      <c r="N266" s="50">
        <v>445.52333333333331</v>
      </c>
      <c r="O266" s="50">
        <v>13300</v>
      </c>
      <c r="P266" s="55">
        <v>65.7</v>
      </c>
      <c r="Q266" s="8" t="s">
        <v>19</v>
      </c>
      <c r="R266" s="7" t="s">
        <v>268</v>
      </c>
      <c r="S266" s="8" t="s">
        <v>30</v>
      </c>
      <c r="T266" s="8" t="s">
        <v>2344</v>
      </c>
      <c r="U266" s="7" t="s">
        <v>761</v>
      </c>
      <c r="W266">
        <f>COUNTIF($A$157:A266,A266)</f>
        <v>28</v>
      </c>
      <c r="X266" t="s">
        <v>2299</v>
      </c>
      <c r="Y266">
        <f t="shared" si="23"/>
        <v>300</v>
      </c>
      <c r="Z266" t="str">
        <f t="shared" si="24"/>
        <v>D-28</v>
      </c>
      <c r="AB266" t="s">
        <v>2317</v>
      </c>
      <c r="AC266" t="s">
        <v>2317</v>
      </c>
    </row>
    <row r="267" spans="1:29">
      <c r="A267" s="8" t="s">
        <v>689</v>
      </c>
      <c r="B267" s="7" t="str">
        <f>Texte!B315</f>
        <v>Système électrique bureau (SIA 2032)</v>
      </c>
      <c r="C267" s="8"/>
      <c r="D267" s="75"/>
      <c r="E267" s="8" t="s">
        <v>246</v>
      </c>
      <c r="F267" s="8" t="s">
        <v>30</v>
      </c>
      <c r="G267" s="8">
        <v>30</v>
      </c>
      <c r="H267" s="44">
        <v>3.7944</v>
      </c>
      <c r="I267" s="44">
        <v>113</v>
      </c>
      <c r="J267" s="44">
        <v>0.83199999999999996</v>
      </c>
      <c r="K267" s="48">
        <v>0.79499999999999993</v>
      </c>
      <c r="L267" s="53">
        <v>22.4</v>
      </c>
      <c r="M267" s="53">
        <v>1.45</v>
      </c>
      <c r="N267" s="50">
        <v>3896.6666666666665</v>
      </c>
      <c r="O267" s="50">
        <v>116000</v>
      </c>
      <c r="P267" s="55">
        <v>900</v>
      </c>
      <c r="Q267" s="8" t="s">
        <v>19</v>
      </c>
      <c r="R267" s="7" t="s">
        <v>268</v>
      </c>
      <c r="S267" s="8" t="s">
        <v>30</v>
      </c>
      <c r="T267" s="8" t="s">
        <v>2345</v>
      </c>
      <c r="U267" s="7" t="s">
        <v>761</v>
      </c>
      <c r="W267">
        <f>COUNTIF($A$157:A267,A267)</f>
        <v>29</v>
      </c>
      <c r="X267" t="s">
        <v>2300</v>
      </c>
      <c r="Y267">
        <f t="shared" si="23"/>
        <v>293</v>
      </c>
      <c r="Z267" t="str">
        <f t="shared" si="24"/>
        <v>D-29</v>
      </c>
      <c r="AB267" t="s">
        <v>2317</v>
      </c>
      <c r="AC267" t="s">
        <v>2317</v>
      </c>
    </row>
    <row r="268" spans="1:29">
      <c r="A268" s="8" t="s">
        <v>689</v>
      </c>
      <c r="B268" s="7" t="str">
        <f>Texte!B314</f>
        <v>Boîtier de l'installation électrique (SIA 2032)</v>
      </c>
      <c r="C268" s="8"/>
      <c r="D268" s="75"/>
      <c r="E268" s="8" t="s">
        <v>246</v>
      </c>
      <c r="F268" s="8" t="s">
        <v>30</v>
      </c>
      <c r="G268" s="8">
        <v>30</v>
      </c>
      <c r="H268" s="44">
        <v>1.8452333333333335</v>
      </c>
      <c r="I268" s="44">
        <v>54.6</v>
      </c>
      <c r="J268" s="44">
        <v>0.75700000000000001</v>
      </c>
      <c r="K268" s="48">
        <v>0.42333333333333334</v>
      </c>
      <c r="L268" s="53">
        <v>9.3000000000000007</v>
      </c>
      <c r="M268" s="53">
        <v>3.4</v>
      </c>
      <c r="N268" s="50">
        <v>1574</v>
      </c>
      <c r="O268" s="50">
        <v>45400</v>
      </c>
      <c r="P268" s="55">
        <v>1820</v>
      </c>
      <c r="Q268" s="8" t="s">
        <v>19</v>
      </c>
      <c r="R268" s="7" t="s">
        <v>268</v>
      </c>
      <c r="S268" s="8" t="s">
        <v>30</v>
      </c>
      <c r="T268" s="8" t="s">
        <v>2345</v>
      </c>
      <c r="U268" s="7" t="s">
        <v>761</v>
      </c>
      <c r="W268">
        <f>COUNTIF($A$157:A268,A268)</f>
        <v>30</v>
      </c>
      <c r="X268" t="s">
        <v>2301</v>
      </c>
      <c r="Y268">
        <f t="shared" si="23"/>
        <v>292</v>
      </c>
      <c r="Z268" t="str">
        <f t="shared" si="24"/>
        <v>D-30</v>
      </c>
      <c r="AB268" t="s">
        <v>2317</v>
      </c>
      <c r="AC268" t="s">
        <v>2317</v>
      </c>
    </row>
    <row r="269" spans="1:29">
      <c r="A269" s="8" t="s">
        <v>689</v>
      </c>
      <c r="B269" s="7" t="str">
        <f>Texte!B320</f>
        <v>Sondes géothermiques (SIA 2032)</v>
      </c>
      <c r="C269" s="8"/>
      <c r="D269" s="75"/>
      <c r="E269" s="8" t="s">
        <v>246</v>
      </c>
      <c r="F269" s="8" t="s">
        <v>30</v>
      </c>
      <c r="G269" s="8">
        <v>40</v>
      </c>
      <c r="H269" s="44">
        <v>1.631</v>
      </c>
      <c r="I269" s="44">
        <v>64.5</v>
      </c>
      <c r="J269" s="44">
        <v>0.74</v>
      </c>
      <c r="K269" s="48">
        <v>0.35037500000000005</v>
      </c>
      <c r="L269" s="53">
        <v>12.65</v>
      </c>
      <c r="M269" s="53">
        <v>1.365</v>
      </c>
      <c r="N269" s="50">
        <v>432.5</v>
      </c>
      <c r="O269" s="50">
        <v>15250</v>
      </c>
      <c r="P269" s="55">
        <v>2050</v>
      </c>
      <c r="Q269" s="8" t="s">
        <v>19</v>
      </c>
      <c r="R269" s="7" t="s">
        <v>268</v>
      </c>
      <c r="S269" s="8" t="s">
        <v>30</v>
      </c>
      <c r="T269" s="8" t="s">
        <v>2347</v>
      </c>
      <c r="U269" s="7" t="s">
        <v>761</v>
      </c>
      <c r="W269">
        <f>COUNTIF($A$157:A269,A269)</f>
        <v>31</v>
      </c>
      <c r="X269" t="s">
        <v>2302</v>
      </c>
      <c r="Y269">
        <f t="shared" si="23"/>
        <v>298</v>
      </c>
      <c r="Z269" t="str">
        <f t="shared" si="24"/>
        <v>D-31</v>
      </c>
      <c r="AB269" t="s">
        <v>2317</v>
      </c>
      <c r="AC269" t="s">
        <v>2317</v>
      </c>
    </row>
    <row r="270" spans="1:29">
      <c r="A270" s="8" t="s">
        <v>689</v>
      </c>
      <c r="B270" s="7" t="str">
        <f>Texte!B324</f>
        <v>Système de ventilation pour immeubles de bureaux (SIA 2032)</v>
      </c>
      <c r="C270" s="8"/>
      <c r="D270" s="75"/>
      <c r="E270" s="8" t="s">
        <v>246</v>
      </c>
      <c r="F270" s="8" t="s">
        <v>30</v>
      </c>
      <c r="G270" s="8">
        <v>30</v>
      </c>
      <c r="H270" s="44">
        <v>3.08385</v>
      </c>
      <c r="I270" s="44">
        <v>92.15</v>
      </c>
      <c r="J270" s="44">
        <v>0.36549999999999999</v>
      </c>
      <c r="K270" s="48">
        <v>0.7174666666666667</v>
      </c>
      <c r="L270" s="53">
        <v>20.9</v>
      </c>
      <c r="M270" s="53">
        <v>0.624</v>
      </c>
      <c r="N270" s="50">
        <v>1791.6499999999999</v>
      </c>
      <c r="O270" s="50">
        <v>53350</v>
      </c>
      <c r="P270" s="55">
        <v>399.5</v>
      </c>
      <c r="Q270" s="8" t="s">
        <v>19</v>
      </c>
      <c r="R270" s="7" t="s">
        <v>268</v>
      </c>
      <c r="S270" s="8" t="s">
        <v>30</v>
      </c>
      <c r="T270" s="8" t="s">
        <v>2344</v>
      </c>
      <c r="U270" s="7" t="s">
        <v>761</v>
      </c>
      <c r="W270">
        <f>COUNTIF($A$157:A270,A270)</f>
        <v>32</v>
      </c>
      <c r="X270" t="s">
        <v>2303</v>
      </c>
      <c r="Y270">
        <f t="shared" si="23"/>
        <v>302</v>
      </c>
      <c r="Z270" t="str">
        <f t="shared" si="24"/>
        <v>D-32</v>
      </c>
      <c r="AB270" t="s">
        <v>2317</v>
      </c>
      <c r="AC270" t="s">
        <v>2317</v>
      </c>
    </row>
    <row r="271" spans="1:29">
      <c r="A271" s="8" t="s">
        <v>689</v>
      </c>
      <c r="B271" s="7" t="str">
        <f>Texte!B323</f>
        <v>Système de ventilation pour immeubles résidentiels (SIA 2032)</v>
      </c>
      <c r="C271" s="8"/>
      <c r="D271" s="75"/>
      <c r="E271" s="8" t="s">
        <v>246</v>
      </c>
      <c r="F271" s="8" t="s">
        <v>30</v>
      </c>
      <c r="G271" s="8">
        <v>30</v>
      </c>
      <c r="H271" s="44">
        <v>1.8169333333333331</v>
      </c>
      <c r="I271" s="44">
        <v>54.3</v>
      </c>
      <c r="J271" s="44">
        <v>0.20799999999999999</v>
      </c>
      <c r="K271" s="48">
        <v>0.42150000000000004</v>
      </c>
      <c r="L271" s="53">
        <v>12.3</v>
      </c>
      <c r="M271" s="53">
        <v>0.34499999999999997</v>
      </c>
      <c r="N271" s="50">
        <v>1054.0666666666668</v>
      </c>
      <c r="O271" s="50">
        <v>31400</v>
      </c>
      <c r="P271" s="55">
        <v>222</v>
      </c>
      <c r="Q271" s="8" t="s">
        <v>19</v>
      </c>
      <c r="R271" s="7" t="s">
        <v>268</v>
      </c>
      <c r="S271" s="8" t="s">
        <v>30</v>
      </c>
      <c r="T271" s="8" t="s">
        <v>2344</v>
      </c>
      <c r="U271" s="7" t="s">
        <v>761</v>
      </c>
      <c r="W271">
        <f>COUNTIF($A$157:A271,A271)</f>
        <v>33</v>
      </c>
      <c r="X271" t="s">
        <v>2304</v>
      </c>
      <c r="Y271">
        <f t="shared" si="23"/>
        <v>301</v>
      </c>
      <c r="Z271" t="str">
        <f t="shared" si="24"/>
        <v>D-33</v>
      </c>
      <c r="AB271" t="s">
        <v>2317</v>
      </c>
      <c r="AC271" t="s">
        <v>2317</v>
      </c>
    </row>
    <row r="272" spans="1:29">
      <c r="A272" s="8" t="s">
        <v>689</v>
      </c>
      <c r="B272" s="7" t="str">
        <f>Texte!B326</f>
        <v>Installations sanitaires pour immeubles de bureaux (SIA 2032)</v>
      </c>
      <c r="C272" s="8"/>
      <c r="D272" s="75"/>
      <c r="E272" s="8" t="s">
        <v>246</v>
      </c>
      <c r="F272" s="8" t="s">
        <v>30</v>
      </c>
      <c r="G272" s="8">
        <v>30</v>
      </c>
      <c r="H272" s="44">
        <v>1.1035833333333334</v>
      </c>
      <c r="I272" s="44">
        <v>32.799999999999997</v>
      </c>
      <c r="J272" s="44">
        <v>0.3075</v>
      </c>
      <c r="K272" s="48">
        <v>0.27150000000000002</v>
      </c>
      <c r="L272" s="53">
        <v>5.69</v>
      </c>
      <c r="M272" s="53">
        <v>2.4550000000000001</v>
      </c>
      <c r="N272" s="50">
        <v>427.11666666666667</v>
      </c>
      <c r="O272" s="50">
        <v>11545</v>
      </c>
      <c r="P272" s="55">
        <v>1268.5</v>
      </c>
      <c r="Q272" s="8" t="s">
        <v>19</v>
      </c>
      <c r="R272" s="7" t="s">
        <v>268</v>
      </c>
      <c r="S272" s="8" t="s">
        <v>30</v>
      </c>
      <c r="T272" s="8" t="s">
        <v>2346</v>
      </c>
      <c r="U272" s="7" t="s">
        <v>761</v>
      </c>
      <c r="W272">
        <f>COUNTIF($A$157:A272,A272)</f>
        <v>34</v>
      </c>
      <c r="X272" t="s">
        <v>2305</v>
      </c>
      <c r="Y272">
        <f t="shared" si="23"/>
        <v>304</v>
      </c>
      <c r="Z272" t="str">
        <f t="shared" si="24"/>
        <v>D-34</v>
      </c>
      <c r="AB272" t="s">
        <v>2317</v>
      </c>
      <c r="AC272" t="s">
        <v>2317</v>
      </c>
    </row>
    <row r="273" spans="1:29">
      <c r="A273" s="8" t="s">
        <v>689</v>
      </c>
      <c r="B273" s="7" t="str">
        <f>Texte!B325</f>
        <v>Installations sanitaires pour immeubles résidentiels (SIA 2032)</v>
      </c>
      <c r="C273" s="8"/>
      <c r="D273" s="75"/>
      <c r="E273" s="8" t="s">
        <v>246</v>
      </c>
      <c r="F273" s="8" t="s">
        <v>30</v>
      </c>
      <c r="G273" s="8">
        <v>30</v>
      </c>
      <c r="H273" s="44">
        <v>1.6179000000000001</v>
      </c>
      <c r="I273" s="44">
        <v>48.2</v>
      </c>
      <c r="J273" s="44">
        <v>0.33700000000000002</v>
      </c>
      <c r="K273" s="48">
        <v>0.37866666666666671</v>
      </c>
      <c r="L273" s="53">
        <v>9.81</v>
      </c>
      <c r="M273" s="53">
        <v>1.55</v>
      </c>
      <c r="N273" s="50">
        <v>801.1</v>
      </c>
      <c r="O273" s="50">
        <v>23200</v>
      </c>
      <c r="P273" s="55">
        <v>833</v>
      </c>
      <c r="Q273" s="8" t="s">
        <v>19</v>
      </c>
      <c r="R273" s="7" t="s">
        <v>268</v>
      </c>
      <c r="S273" s="8" t="s">
        <v>30</v>
      </c>
      <c r="T273" s="8" t="s">
        <v>2346</v>
      </c>
      <c r="U273" s="7" t="s">
        <v>761</v>
      </c>
      <c r="W273">
        <f>COUNTIF($A$157:A273,A273)</f>
        <v>35</v>
      </c>
      <c r="X273" t="s">
        <v>2306</v>
      </c>
      <c r="Y273">
        <f t="shared" si="23"/>
        <v>303</v>
      </c>
      <c r="Z273" t="str">
        <f t="shared" si="24"/>
        <v>D-35</v>
      </c>
      <c r="AB273" t="s">
        <v>2317</v>
      </c>
      <c r="AC273" t="s">
        <v>2317</v>
      </c>
    </row>
    <row r="274" spans="1:29">
      <c r="A274" s="8" t="s">
        <v>689</v>
      </c>
      <c r="B274" s="7" t="str">
        <f>Texte!B321</f>
        <v>Capteurs solaires (SIA 2032)</v>
      </c>
      <c r="C274" s="8"/>
      <c r="D274" s="75"/>
      <c r="E274" s="8" t="s">
        <v>246</v>
      </c>
      <c r="F274" s="8" t="s">
        <v>30</v>
      </c>
      <c r="G274" s="8">
        <v>30</v>
      </c>
      <c r="H274" s="44">
        <v>23.166666666666668</v>
      </c>
      <c r="I274" s="44">
        <v>695</v>
      </c>
      <c r="J274" s="44">
        <v>0</v>
      </c>
      <c r="K274" s="48">
        <v>5.166666666666667</v>
      </c>
      <c r="L274" s="53">
        <v>155</v>
      </c>
      <c r="M274" s="53">
        <v>0</v>
      </c>
      <c r="N274" s="50">
        <v>13133.333333333334</v>
      </c>
      <c r="O274" s="50">
        <v>394000</v>
      </c>
      <c r="P274" s="55">
        <v>0</v>
      </c>
      <c r="Q274" s="8" t="s">
        <v>19</v>
      </c>
      <c r="R274" s="7" t="s">
        <v>268</v>
      </c>
      <c r="S274" s="8" t="s">
        <v>30</v>
      </c>
      <c r="T274" s="8" t="s">
        <v>2348</v>
      </c>
      <c r="U274" s="7" t="s">
        <v>761</v>
      </c>
      <c r="W274">
        <f>COUNTIF($A$157:A274,A274)</f>
        <v>36</v>
      </c>
      <c r="X274" t="s">
        <v>2307</v>
      </c>
      <c r="Y274">
        <f t="shared" si="23"/>
        <v>299</v>
      </c>
      <c r="Z274" t="str">
        <f t="shared" si="24"/>
        <v>D-36</v>
      </c>
      <c r="AB274" t="s">
        <v>2317</v>
      </c>
      <c r="AC274" t="s">
        <v>2317</v>
      </c>
    </row>
    <row r="275" spans="1:29">
      <c r="A275" s="8" t="s">
        <v>689</v>
      </c>
      <c r="B275" s="7" t="str">
        <f>Texte!B316</f>
        <v>Installation solaire (1 m2 = 0,14 kWp) (SIA 2032)</v>
      </c>
      <c r="C275" s="8"/>
      <c r="D275" s="75"/>
      <c r="E275" s="8" t="s">
        <v>246</v>
      </c>
      <c r="F275" s="8" t="s">
        <v>30</v>
      </c>
      <c r="G275" s="8">
        <v>30</v>
      </c>
      <c r="H275" s="44">
        <v>267.33333333333331</v>
      </c>
      <c r="I275" s="44">
        <v>8020</v>
      </c>
      <c r="J275" s="44">
        <v>0</v>
      </c>
      <c r="K275" s="48">
        <v>77.333333333333329</v>
      </c>
      <c r="L275" s="53">
        <v>2320</v>
      </c>
      <c r="M275" s="53">
        <v>0</v>
      </c>
      <c r="N275" s="50">
        <v>102333.33333333333</v>
      </c>
      <c r="O275" s="50">
        <v>3070000</v>
      </c>
      <c r="P275" s="55">
        <v>0</v>
      </c>
      <c r="Q275" s="8" t="s">
        <v>19</v>
      </c>
      <c r="R275" s="7" t="s">
        <v>268</v>
      </c>
      <c r="S275" s="8" t="s">
        <v>30</v>
      </c>
      <c r="T275" s="8" t="s">
        <v>2349</v>
      </c>
      <c r="U275" s="7" t="s">
        <v>761</v>
      </c>
      <c r="W275">
        <f>COUNTIF($A$157:A275,A275)</f>
        <v>37</v>
      </c>
      <c r="X275" t="s">
        <v>2308</v>
      </c>
      <c r="Y275">
        <f t="shared" si="23"/>
        <v>294</v>
      </c>
      <c r="Z275" t="str">
        <f t="shared" si="24"/>
        <v>D-37</v>
      </c>
      <c r="AB275" t="s">
        <v>2317</v>
      </c>
      <c r="AC275" t="s">
        <v>2317</v>
      </c>
    </row>
    <row r="276" spans="1:29">
      <c r="A276" s="8" t="s">
        <v>689</v>
      </c>
      <c r="B276" s="7" t="str">
        <f>Texte!B317</f>
        <v>Production de chaleur (SIA 2032)</v>
      </c>
      <c r="C276" s="8"/>
      <c r="D276" s="75"/>
      <c r="E276" s="8" t="s">
        <v>246</v>
      </c>
      <c r="F276" s="8" t="s">
        <v>30</v>
      </c>
      <c r="G276" s="8">
        <v>20</v>
      </c>
      <c r="H276" s="44">
        <v>0.34172000000000002</v>
      </c>
      <c r="I276" s="44">
        <v>6.78</v>
      </c>
      <c r="J276" s="44">
        <v>5.4399999999999997E-2</v>
      </c>
      <c r="K276" s="48">
        <v>7.6634999999999995E-2</v>
      </c>
      <c r="L276" s="53">
        <v>1.5</v>
      </c>
      <c r="M276" s="53">
        <v>3.27E-2</v>
      </c>
      <c r="N276" s="50">
        <v>179.59</v>
      </c>
      <c r="O276" s="50">
        <v>3560</v>
      </c>
      <c r="P276" s="55">
        <v>31.8</v>
      </c>
      <c r="Q276" s="8" t="s">
        <v>19</v>
      </c>
      <c r="R276" s="7" t="s">
        <v>268</v>
      </c>
      <c r="S276" s="8" t="s">
        <v>30</v>
      </c>
      <c r="T276" s="8" t="s">
        <v>2352</v>
      </c>
      <c r="U276" s="7" t="s">
        <v>761</v>
      </c>
      <c r="W276">
        <f>COUNTIF($A$157:A276,A276)</f>
        <v>38</v>
      </c>
      <c r="X276" t="s">
        <v>2309</v>
      </c>
      <c r="Y276">
        <f t="shared" si="23"/>
        <v>295</v>
      </c>
      <c r="Z276" t="str">
        <f t="shared" si="24"/>
        <v>D-38</v>
      </c>
      <c r="AB276" t="s">
        <v>2317</v>
      </c>
      <c r="AC276" t="s">
        <v>2317</v>
      </c>
    </row>
    <row r="277" spans="1:29">
      <c r="A277" s="8" t="s">
        <v>689</v>
      </c>
      <c r="B277" s="7" t="str">
        <f>Texte!B319</f>
        <v>Distribution et dégagement de chaleur pour immeubles de bureaux (SIA 2032)</v>
      </c>
      <c r="C277" s="8"/>
      <c r="D277" s="75"/>
      <c r="E277" s="8" t="s">
        <v>246</v>
      </c>
      <c r="F277" s="8" t="s">
        <v>30</v>
      </c>
      <c r="G277" s="8">
        <v>30</v>
      </c>
      <c r="H277" s="44">
        <v>1.8475066666666664</v>
      </c>
      <c r="I277" s="44">
        <v>52.599999999999994</v>
      </c>
      <c r="J277" s="44">
        <v>2.8252000000000002</v>
      </c>
      <c r="K277" s="48">
        <v>0.43609000000000003</v>
      </c>
      <c r="L277" s="53">
        <v>12</v>
      </c>
      <c r="M277" s="53">
        <v>1.0827</v>
      </c>
      <c r="N277" s="50">
        <v>840.26333333333321</v>
      </c>
      <c r="O277" s="50">
        <v>0</v>
      </c>
      <c r="P277" s="55">
        <v>0</v>
      </c>
      <c r="Q277" s="8" t="s">
        <v>19</v>
      </c>
      <c r="R277" s="7" t="s">
        <v>268</v>
      </c>
      <c r="S277" s="8" t="s">
        <v>30</v>
      </c>
      <c r="T277" s="8" t="s">
        <v>2350</v>
      </c>
      <c r="U277" s="7" t="s">
        <v>761</v>
      </c>
      <c r="W277">
        <f>COUNTIF($A$157:A277,A277)</f>
        <v>39</v>
      </c>
      <c r="X277" t="s">
        <v>2310</v>
      </c>
      <c r="Y277">
        <f t="shared" si="23"/>
        <v>297</v>
      </c>
      <c r="Z277" t="str">
        <f t="shared" si="24"/>
        <v>D-39</v>
      </c>
      <c r="AB277" t="s">
        <v>2317</v>
      </c>
      <c r="AC277" t="s">
        <v>2317</v>
      </c>
    </row>
    <row r="278" spans="1:29">
      <c r="A278" s="8" t="s">
        <v>689</v>
      </c>
      <c r="B278" s="7" t="str">
        <f>Texte!B318</f>
        <v>Distribution et dégagement de chaleur pour immeubles résidentiels (SIA 2032)</v>
      </c>
      <c r="C278" s="8"/>
      <c r="D278" s="75"/>
      <c r="E278" s="8" t="s">
        <v>246</v>
      </c>
      <c r="F278" s="8" t="s">
        <v>30</v>
      </c>
      <c r="G278" s="8">
        <v>30</v>
      </c>
      <c r="H278" s="44">
        <v>1.2207233333333334</v>
      </c>
      <c r="I278" s="44">
        <v>34.200000000000003</v>
      </c>
      <c r="J278" s="44">
        <v>2.4217</v>
      </c>
      <c r="K278" s="48">
        <v>0.27080000000000004</v>
      </c>
      <c r="L278" s="53">
        <v>5.41</v>
      </c>
      <c r="M278" s="53">
        <v>2.714</v>
      </c>
      <c r="N278" s="50">
        <v>317.13333333333333</v>
      </c>
      <c r="O278" s="50">
        <v>0</v>
      </c>
      <c r="P278" s="55">
        <v>0</v>
      </c>
      <c r="Q278" s="8" t="s">
        <v>19</v>
      </c>
      <c r="R278" s="7" t="s">
        <v>268</v>
      </c>
      <c r="S278" s="8" t="s">
        <v>30</v>
      </c>
      <c r="T278" s="8" t="s">
        <v>2350</v>
      </c>
      <c r="U278" s="7" t="s">
        <v>761</v>
      </c>
      <c r="W278">
        <f>COUNTIF($A$157:A278,A278)</f>
        <v>40</v>
      </c>
      <c r="X278" t="s">
        <v>2311</v>
      </c>
      <c r="Y278">
        <f t="shared" si="23"/>
        <v>296</v>
      </c>
      <c r="Z278" t="str">
        <f t="shared" si="24"/>
        <v>D-40</v>
      </c>
      <c r="AB278" t="s">
        <v>2317</v>
      </c>
      <c r="AC278" t="s">
        <v>2317</v>
      </c>
    </row>
    <row r="279" spans="1:29">
      <c r="A279" s="7" t="s">
        <v>690</v>
      </c>
      <c r="B279" s="7" t="str">
        <f>Texte!B265</f>
        <v>Fenêtre en aluminium 3IV (CC)</v>
      </c>
      <c r="C279" s="7" t="s">
        <v>594</v>
      </c>
      <c r="D279" s="77" t="s">
        <v>593</v>
      </c>
      <c r="E279" s="7" t="s">
        <v>242</v>
      </c>
      <c r="F279" s="7" t="s">
        <v>30</v>
      </c>
      <c r="G279" s="42">
        <f>(I279+J279)/H279</f>
        <v>30</v>
      </c>
      <c r="H279" s="43">
        <v>23.058333333333334</v>
      </c>
      <c r="I279" s="43">
        <v>689.83333333333337</v>
      </c>
      <c r="J279" s="43">
        <v>1.9166666666666667</v>
      </c>
      <c r="K279" s="47">
        <v>5.63</v>
      </c>
      <c r="L279" s="47">
        <v>167.12</v>
      </c>
      <c r="M279" s="47">
        <v>1.86</v>
      </c>
      <c r="N279" s="50">
        <v>5772</v>
      </c>
      <c r="O279" s="50">
        <v>169140</v>
      </c>
      <c r="P279" s="50">
        <v>4028</v>
      </c>
      <c r="Q279" s="7" t="s">
        <v>20</v>
      </c>
      <c r="R279" s="7"/>
      <c r="S279" s="8" t="s">
        <v>30</v>
      </c>
      <c r="T279" s="8" t="s">
        <v>341</v>
      </c>
      <c r="U279" s="7" t="s">
        <v>651</v>
      </c>
      <c r="W279">
        <f>COUNTIF($A$157:A279,A279)</f>
        <v>1</v>
      </c>
      <c r="X279" t="s">
        <v>2285</v>
      </c>
      <c r="Y279">
        <f t="shared" si="23"/>
        <v>243</v>
      </c>
      <c r="Z279" t="str">
        <f t="shared" si="24"/>
        <v>E3-1</v>
      </c>
      <c r="AB279" t="s">
        <v>2317</v>
      </c>
      <c r="AC279" t="s">
        <v>2317</v>
      </c>
    </row>
    <row r="280" spans="1:29">
      <c r="A280" s="7" t="s">
        <v>690</v>
      </c>
      <c r="B280" s="7" t="str">
        <f>Texte!B266</f>
        <v>Porte extérieure, bois (CC)</v>
      </c>
      <c r="C280" s="7" t="s">
        <v>595</v>
      </c>
      <c r="D280" s="77" t="s">
        <v>596</v>
      </c>
      <c r="E280" s="7" t="s">
        <v>242</v>
      </c>
      <c r="F280" s="7" t="s">
        <v>30</v>
      </c>
      <c r="G280" s="42">
        <f>(I280+J280)/H280</f>
        <v>30.003319318433284</v>
      </c>
      <c r="H280" s="43">
        <v>25.105555555555554</v>
      </c>
      <c r="I280" s="43">
        <v>735</v>
      </c>
      <c r="J280" s="43">
        <v>18.25</v>
      </c>
      <c r="K280" s="47">
        <v>6.21</v>
      </c>
      <c r="L280" s="47">
        <v>179.75</v>
      </c>
      <c r="M280" s="47">
        <v>6.56</v>
      </c>
      <c r="N280" s="50">
        <v>11526</v>
      </c>
      <c r="O280" s="50">
        <v>300243</v>
      </c>
      <c r="P280" s="50">
        <v>45528</v>
      </c>
      <c r="Q280" s="7" t="s">
        <v>20</v>
      </c>
      <c r="R280" s="7"/>
      <c r="S280" s="8" t="s">
        <v>30</v>
      </c>
      <c r="T280" s="8" t="s">
        <v>341</v>
      </c>
      <c r="U280" s="7" t="s">
        <v>651</v>
      </c>
      <c r="W280">
        <f>COUNTIF($A$157:A280,A280)</f>
        <v>2</v>
      </c>
      <c r="X280" t="s">
        <v>2286</v>
      </c>
      <c r="Y280">
        <f t="shared" si="23"/>
        <v>244</v>
      </c>
      <c r="Z280" t="str">
        <f t="shared" si="24"/>
        <v>E3-2</v>
      </c>
      <c r="AB280" t="s">
        <v>2317</v>
      </c>
      <c r="AC280" t="s">
        <v>2317</v>
      </c>
    </row>
    <row r="281" spans="1:29">
      <c r="A281" s="7" t="s">
        <v>690</v>
      </c>
      <c r="B281" s="7" t="str">
        <f>Texte!B267</f>
        <v>Fenêtre en bois 3IV (CC)</v>
      </c>
      <c r="C281" s="7" t="s">
        <v>588</v>
      </c>
      <c r="D281" s="77" t="s">
        <v>587</v>
      </c>
      <c r="E281" s="7" t="s">
        <v>242</v>
      </c>
      <c r="F281" s="7" t="s">
        <v>30</v>
      </c>
      <c r="G281" s="42">
        <f>(I281+J281)/H281</f>
        <v>30</v>
      </c>
      <c r="H281" s="43">
        <v>11.605555555555556</v>
      </c>
      <c r="I281" s="43">
        <v>344.27777777777777</v>
      </c>
      <c r="J281" s="43">
        <v>3.8888888888888888</v>
      </c>
      <c r="K281" s="47">
        <v>2.76</v>
      </c>
      <c r="L281" s="47">
        <v>75.94</v>
      </c>
      <c r="M281" s="47">
        <v>6.75</v>
      </c>
      <c r="N281" s="50">
        <v>3769</v>
      </c>
      <c r="O281" s="50">
        <v>92963</v>
      </c>
      <c r="P281" s="50">
        <v>20111</v>
      </c>
      <c r="Q281" s="7" t="s">
        <v>20</v>
      </c>
      <c r="R281" s="7"/>
      <c r="S281" s="8" t="s">
        <v>30</v>
      </c>
      <c r="T281" s="8" t="s">
        <v>341</v>
      </c>
      <c r="U281" s="7" t="s">
        <v>651</v>
      </c>
      <c r="W281">
        <f>COUNTIF($A$157:A281,A281)</f>
        <v>3</v>
      </c>
      <c r="X281" t="s">
        <v>2287</v>
      </c>
      <c r="Y281">
        <f t="shared" si="23"/>
        <v>245</v>
      </c>
      <c r="Z281" t="str">
        <f t="shared" si="24"/>
        <v>E3-3</v>
      </c>
      <c r="AB281" t="s">
        <v>2317</v>
      </c>
      <c r="AC281" t="s">
        <v>2317</v>
      </c>
    </row>
    <row r="282" spans="1:29">
      <c r="A282" s="7" t="s">
        <v>690</v>
      </c>
      <c r="B282" s="7" t="str">
        <f>Texte!B268</f>
        <v>Fenêtre bois-métal 3IV (CC)</v>
      </c>
      <c r="C282" s="7" t="s">
        <v>589</v>
      </c>
      <c r="D282" s="77" t="s">
        <v>590</v>
      </c>
      <c r="E282" s="7" t="s">
        <v>242</v>
      </c>
      <c r="F282" s="7" t="s">
        <v>30</v>
      </c>
      <c r="G282" s="42">
        <f>(I282+J282)/H282</f>
        <v>30</v>
      </c>
      <c r="H282" s="43">
        <v>15.43611111111111</v>
      </c>
      <c r="I282" s="43">
        <v>459.25</v>
      </c>
      <c r="J282" s="43">
        <v>3.8333333333333335</v>
      </c>
      <c r="K282" s="47">
        <v>3.79</v>
      </c>
      <c r="L282" s="47">
        <v>105.29</v>
      </c>
      <c r="M282" s="47">
        <v>8.2899999999999991</v>
      </c>
      <c r="N282" s="50">
        <v>4758</v>
      </c>
      <c r="O282" s="50">
        <v>123164</v>
      </c>
      <c r="P282" s="50">
        <v>19581</v>
      </c>
      <c r="Q282" s="7" t="s">
        <v>20</v>
      </c>
      <c r="R282" s="7"/>
      <c r="S282" s="8" t="s">
        <v>30</v>
      </c>
      <c r="T282" s="8" t="s">
        <v>341</v>
      </c>
      <c r="U282" s="7" t="s">
        <v>651</v>
      </c>
      <c r="W282">
        <f>COUNTIF($A$157:A282,A282)</f>
        <v>4</v>
      </c>
      <c r="X282" t="s">
        <v>2288</v>
      </c>
      <c r="Y282">
        <f t="shared" si="23"/>
        <v>246</v>
      </c>
      <c r="Z282" t="str">
        <f t="shared" si="24"/>
        <v>E3-4</v>
      </c>
      <c r="AB282" t="s">
        <v>2317</v>
      </c>
      <c r="AC282" t="s">
        <v>2317</v>
      </c>
    </row>
    <row r="283" spans="1:29">
      <c r="A283" s="7" t="s">
        <v>690</v>
      </c>
      <c r="B283" s="7" t="str">
        <f>Texte!B269</f>
        <v>Fenêtre en matière synthétique 3IV (CC)</v>
      </c>
      <c r="C283" s="7" t="s">
        <v>592</v>
      </c>
      <c r="D283" s="77" t="s">
        <v>591</v>
      </c>
      <c r="E283" s="7" t="s">
        <v>242</v>
      </c>
      <c r="F283" s="7" t="s">
        <v>30</v>
      </c>
      <c r="G283" s="42">
        <f>(I283+J283)/H283</f>
        <v>30.000000000000004</v>
      </c>
      <c r="H283" s="43">
        <v>20.886111111111109</v>
      </c>
      <c r="I283" s="43">
        <v>577.55555555555554</v>
      </c>
      <c r="J283" s="43">
        <v>49.027777777777779</v>
      </c>
      <c r="K283" s="47">
        <v>4.68</v>
      </c>
      <c r="L283" s="47">
        <v>105.05</v>
      </c>
      <c r="M283" s="47">
        <v>35.39</v>
      </c>
      <c r="N283" s="50">
        <v>5579</v>
      </c>
      <c r="O283" s="50">
        <v>130268</v>
      </c>
      <c r="P283" s="50">
        <v>37116</v>
      </c>
      <c r="Q283" s="7" t="s">
        <v>20</v>
      </c>
      <c r="R283" s="7"/>
      <c r="S283" s="8" t="s">
        <v>30</v>
      </c>
      <c r="T283" s="8" t="s">
        <v>341</v>
      </c>
      <c r="U283" s="7" t="s">
        <v>651</v>
      </c>
      <c r="W283">
        <f>COUNTIF($A$157:A283,A283)</f>
        <v>5</v>
      </c>
      <c r="X283" t="s">
        <v>2289</v>
      </c>
      <c r="Y283">
        <f t="shared" si="23"/>
        <v>247</v>
      </c>
      <c r="Z283" t="str">
        <f t="shared" si="24"/>
        <v>E3-5</v>
      </c>
      <c r="AB283" t="s">
        <v>2317</v>
      </c>
      <c r="AC283" t="s">
        <v>2317</v>
      </c>
    </row>
    <row r="284" spans="1:29">
      <c r="A284" s="8" t="s">
        <v>690</v>
      </c>
      <c r="B284" s="7" t="str">
        <f>Texte!B298</f>
        <v>Fenêtre, valeur moyenne, 3 fois IV, y compris protection solaire (SIA 2032)</v>
      </c>
      <c r="C284" s="8"/>
      <c r="D284" s="75"/>
      <c r="E284" s="8" t="s">
        <v>242</v>
      </c>
      <c r="F284" s="8" t="s">
        <v>30</v>
      </c>
      <c r="G284" s="8">
        <v>30</v>
      </c>
      <c r="H284" s="44">
        <v>22.50500666666667</v>
      </c>
      <c r="I284" s="44">
        <v>671.48</v>
      </c>
      <c r="J284" s="44">
        <v>3.6702000000000004</v>
      </c>
      <c r="K284" s="48">
        <v>5.2411599999999998</v>
      </c>
      <c r="L284" s="53">
        <v>145.666</v>
      </c>
      <c r="M284" s="53">
        <v>11.5688</v>
      </c>
      <c r="N284" s="50">
        <v>7963.1333333333332</v>
      </c>
      <c r="O284" s="50">
        <v>231522</v>
      </c>
      <c r="P284" s="55">
        <v>7372</v>
      </c>
      <c r="Q284" s="8" t="s">
        <v>19</v>
      </c>
      <c r="R284" s="8"/>
      <c r="S284" s="8" t="s">
        <v>30</v>
      </c>
      <c r="T284" s="8" t="s">
        <v>341</v>
      </c>
      <c r="U284" s="7" t="s">
        <v>761</v>
      </c>
      <c r="W284">
        <f>COUNTIF($A$157:A284,A284)</f>
        <v>6</v>
      </c>
      <c r="X284" t="s">
        <v>2312</v>
      </c>
      <c r="Y284">
        <f t="shared" si="23"/>
        <v>276</v>
      </c>
      <c r="Z284" t="str">
        <f t="shared" si="24"/>
        <v>E3-6</v>
      </c>
      <c r="AB284" t="s">
        <v>2317</v>
      </c>
      <c r="AC284" t="s">
        <v>2317</v>
      </c>
    </row>
    <row r="285" spans="1:29">
      <c r="A285" s="8" t="s">
        <v>1659</v>
      </c>
      <c r="B285" s="7" t="str">
        <f>Texte!B312</f>
        <v>Plafond d'installation suspendu (valeur moyenne) (SIA 2032)</v>
      </c>
      <c r="C285" s="8"/>
      <c r="D285" s="75"/>
      <c r="E285" s="8" t="s">
        <v>242</v>
      </c>
      <c r="F285" s="8" t="s">
        <v>30</v>
      </c>
      <c r="G285" s="8">
        <v>30</v>
      </c>
      <c r="H285" s="44">
        <v>2.7915743333333336</v>
      </c>
      <c r="I285" s="44">
        <v>82.939599999999999</v>
      </c>
      <c r="J285" s="44">
        <v>0.80763000000000018</v>
      </c>
      <c r="K285" s="48">
        <v>0.61595754999999996</v>
      </c>
      <c r="L285" s="53">
        <v>17.9101</v>
      </c>
      <c r="M285" s="53">
        <v>0.56862649999999992</v>
      </c>
      <c r="N285" s="50">
        <v>1607.7015833333332</v>
      </c>
      <c r="O285" s="50">
        <v>47732.324999999997</v>
      </c>
      <c r="P285" s="55">
        <v>498.72249999999997</v>
      </c>
      <c r="Q285" s="8" t="s">
        <v>19</v>
      </c>
      <c r="R285" s="8"/>
      <c r="S285" s="8" t="s">
        <v>30</v>
      </c>
      <c r="T285" s="8" t="s">
        <v>341</v>
      </c>
      <c r="U285" s="7" t="s">
        <v>761</v>
      </c>
      <c r="W285">
        <f>COUNTIF($A$157:A285,A285)</f>
        <v>1</v>
      </c>
      <c r="X285" t="s">
        <v>2313</v>
      </c>
      <c r="Y285">
        <f t="shared" si="23"/>
        <v>290</v>
      </c>
      <c r="Z285" t="str">
        <f t="shared" si="24"/>
        <v>G-1</v>
      </c>
      <c r="AB285" t="s">
        <v>2317</v>
      </c>
      <c r="AC285" t="s">
        <v>2317</v>
      </c>
    </row>
    <row r="286" spans="1:29">
      <c r="A286" s="8" t="s">
        <v>1659</v>
      </c>
      <c r="B286" s="7" t="str">
        <f>Texte!B311</f>
        <v>Isolation contre la non-chauffée (SIA 2032)</v>
      </c>
      <c r="C286" s="8"/>
      <c r="D286" s="75"/>
      <c r="E286" s="8" t="s">
        <v>242</v>
      </c>
      <c r="F286" s="8" t="s">
        <v>30</v>
      </c>
      <c r="G286" s="8">
        <v>30</v>
      </c>
      <c r="H286" s="44">
        <v>1.6792249999999997</v>
      </c>
      <c r="I286" s="44">
        <v>49.949999999999996</v>
      </c>
      <c r="J286" s="44">
        <v>0.42675000000000002</v>
      </c>
      <c r="K286" s="48">
        <v>0.25364800000000004</v>
      </c>
      <c r="L286" s="53">
        <v>7.1625000000000005</v>
      </c>
      <c r="M286" s="53">
        <v>0.44694</v>
      </c>
      <c r="N286" s="50">
        <v>356.21</v>
      </c>
      <c r="O286" s="50">
        <v>10303.5</v>
      </c>
      <c r="P286" s="55">
        <v>382.8</v>
      </c>
      <c r="Q286" s="8" t="s">
        <v>20</v>
      </c>
      <c r="R286" s="8"/>
      <c r="S286" s="8" t="s">
        <v>30</v>
      </c>
      <c r="T286" s="8" t="s">
        <v>341</v>
      </c>
      <c r="U286" s="7" t="s">
        <v>761</v>
      </c>
      <c r="W286">
        <f>COUNTIF($A$157:A286,A286)</f>
        <v>2</v>
      </c>
      <c r="X286" t="s">
        <v>2314</v>
      </c>
      <c r="Y286">
        <f t="shared" ref="Y286:Y288" si="32">IFERROR(RIGHT(X286,3)*1,"")</f>
        <v>289</v>
      </c>
      <c r="Z286" t="str">
        <f t="shared" ref="Z286:Z288" si="33">IF(Y286&lt;&gt;"",RIGHT(A286,LEN(A286)-SEARCH("_",A286,3))&amp;"-"&amp;W286,"")</f>
        <v>G-2</v>
      </c>
      <c r="AB286" t="s">
        <v>2317</v>
      </c>
      <c r="AC286" t="s">
        <v>2317</v>
      </c>
    </row>
    <row r="287" spans="1:29">
      <c r="A287" s="8" t="s">
        <v>1659</v>
      </c>
      <c r="B287" s="7" t="str">
        <f>Texte!B309</f>
        <v>Revêtement de sol fini (sans sous-construction) (SIA 2032)</v>
      </c>
      <c r="C287" s="8"/>
      <c r="D287" s="75"/>
      <c r="E287" s="8" t="s">
        <v>242</v>
      </c>
      <c r="F287" s="8" t="s">
        <v>30</v>
      </c>
      <c r="G287" s="8">
        <v>30</v>
      </c>
      <c r="H287" s="44">
        <v>1.7676700000000001</v>
      </c>
      <c r="I287" s="44">
        <v>52.56</v>
      </c>
      <c r="J287" s="44">
        <v>0.47009999999999996</v>
      </c>
      <c r="K287" s="48">
        <v>0.36997333333333338</v>
      </c>
      <c r="L287" s="53">
        <v>9.902000000000001</v>
      </c>
      <c r="M287" s="53">
        <v>1.1972</v>
      </c>
      <c r="N287" s="50">
        <v>542.87666666666667</v>
      </c>
      <c r="O287" s="50">
        <v>15490</v>
      </c>
      <c r="P287" s="55">
        <v>796.3</v>
      </c>
      <c r="Q287" s="8" t="s">
        <v>19</v>
      </c>
      <c r="R287" s="8"/>
      <c r="S287" s="8" t="s">
        <v>30</v>
      </c>
      <c r="T287" s="8" t="s">
        <v>341</v>
      </c>
      <c r="U287" s="7" t="s">
        <v>761</v>
      </c>
      <c r="W287">
        <f>COUNTIF($A$157:A287,A287)</f>
        <v>3</v>
      </c>
      <c r="X287" t="s">
        <v>2315</v>
      </c>
      <c r="Y287">
        <f t="shared" si="32"/>
        <v>287</v>
      </c>
      <c r="Z287" t="str">
        <f t="shared" si="33"/>
        <v>G-3</v>
      </c>
      <c r="AB287" t="s">
        <v>2317</v>
      </c>
      <c r="AC287" t="s">
        <v>2317</v>
      </c>
    </row>
    <row r="288" spans="1:29">
      <c r="A288" s="8" t="s">
        <v>1659</v>
      </c>
      <c r="B288" s="7" t="str">
        <f>Texte!B310</f>
        <v>Sous-construction et revêtement de sol (SIA 2032)</v>
      </c>
      <c r="C288" s="8"/>
      <c r="D288" s="75"/>
      <c r="E288" s="8" t="s">
        <v>242</v>
      </c>
      <c r="F288" s="8" t="s">
        <v>30</v>
      </c>
      <c r="G288" s="8">
        <v>30</v>
      </c>
      <c r="H288" s="44">
        <v>4.1257659999999996</v>
      </c>
      <c r="I288" s="44">
        <v>116.4435</v>
      </c>
      <c r="J288" s="44">
        <v>7.3294800000000002</v>
      </c>
      <c r="K288" s="48">
        <v>1.1985903333333334</v>
      </c>
      <c r="L288" s="53">
        <v>32.753599999999999</v>
      </c>
      <c r="M288" s="53">
        <v>3.20411</v>
      </c>
      <c r="N288" s="50">
        <v>1786.2850000000001</v>
      </c>
      <c r="O288" s="50">
        <v>48925.599999999999</v>
      </c>
      <c r="P288" s="55">
        <v>4662.9500000000007</v>
      </c>
      <c r="Q288" s="8" t="s">
        <v>19</v>
      </c>
      <c r="R288" s="8"/>
      <c r="S288" s="8" t="s">
        <v>30</v>
      </c>
      <c r="T288" s="8" t="s">
        <v>341</v>
      </c>
      <c r="U288" s="7" t="s">
        <v>761</v>
      </c>
      <c r="W288">
        <f>COUNTIF($A$157:A288,A288)</f>
        <v>4</v>
      </c>
      <c r="X288" t="s">
        <v>2316</v>
      </c>
      <c r="Y288">
        <f t="shared" si="32"/>
        <v>288</v>
      </c>
      <c r="Z288" t="str">
        <f t="shared" si="33"/>
        <v>G-4</v>
      </c>
      <c r="AB288" t="s">
        <v>2317</v>
      </c>
      <c r="AC288" t="s">
        <v>2317</v>
      </c>
    </row>
    <row r="289" spans="1:17">
      <c r="A289" s="8"/>
      <c r="B289" s="8"/>
      <c r="C289" s="8"/>
      <c r="D289" s="8"/>
      <c r="E289" s="8"/>
      <c r="F289" s="8"/>
      <c r="G289" s="8"/>
      <c r="H289" s="8"/>
      <c r="I289" s="8"/>
      <c r="J289" s="8"/>
      <c r="K289" s="8"/>
      <c r="L289" s="8"/>
      <c r="Q289" s="8"/>
    </row>
    <row r="290" spans="1:17">
      <c r="A290" s="8"/>
      <c r="B290" s="8"/>
      <c r="C290" s="8"/>
      <c r="D290" s="8"/>
      <c r="E290" s="8"/>
      <c r="F290" s="8"/>
      <c r="G290" s="8"/>
      <c r="H290" s="8"/>
      <c r="I290" s="8"/>
      <c r="J290" s="8"/>
      <c r="K290" s="8"/>
      <c r="L290" s="8"/>
      <c r="Q290" s="8"/>
    </row>
    <row r="291" spans="1:17">
      <c r="A291" s="8"/>
      <c r="B291" s="8"/>
      <c r="C291" s="8"/>
      <c r="D291" s="8"/>
      <c r="E291" s="8"/>
      <c r="F291" s="8"/>
      <c r="G291" s="8"/>
      <c r="H291" s="8"/>
      <c r="I291" s="8"/>
      <c r="J291" s="8"/>
      <c r="K291" s="8"/>
      <c r="L291" s="8"/>
      <c r="Q291" s="8"/>
    </row>
    <row r="292" spans="1:17">
      <c r="A292" s="8"/>
      <c r="B292" s="8"/>
      <c r="C292" s="8"/>
      <c r="D292" s="8"/>
      <c r="E292" s="8"/>
      <c r="F292" s="8"/>
      <c r="G292" s="8"/>
      <c r="H292" s="8"/>
      <c r="I292" s="8"/>
      <c r="J292" s="8"/>
      <c r="K292" s="8"/>
      <c r="L292" s="8"/>
      <c r="Q292" s="8"/>
    </row>
    <row r="293" spans="1:17">
      <c r="A293" s="8"/>
      <c r="B293" s="8"/>
      <c r="C293" s="8"/>
      <c r="D293" s="8"/>
      <c r="E293" s="8"/>
      <c r="F293" s="8"/>
      <c r="G293" s="8"/>
      <c r="H293" s="8"/>
      <c r="I293" s="8"/>
      <c r="J293" s="8"/>
      <c r="K293" s="8"/>
      <c r="L293" s="8"/>
      <c r="Q293" s="8"/>
    </row>
    <row r="294" spans="1:17">
      <c r="A294" s="8"/>
      <c r="B294" s="8"/>
      <c r="C294" s="8"/>
      <c r="D294" s="8"/>
      <c r="E294" s="8"/>
      <c r="F294" s="8"/>
      <c r="G294" s="8"/>
      <c r="H294" s="8"/>
      <c r="I294" s="8"/>
      <c r="J294" s="8"/>
      <c r="K294" s="8"/>
      <c r="L294" s="8"/>
      <c r="Q294" s="8"/>
    </row>
    <row r="295" spans="1:17">
      <c r="A295" s="8"/>
      <c r="B295" s="8"/>
      <c r="C295" s="8"/>
      <c r="D295" s="8"/>
      <c r="E295" s="8"/>
      <c r="F295" s="8"/>
      <c r="G295" s="8"/>
      <c r="H295" s="8"/>
      <c r="I295" s="8"/>
      <c r="J295" s="8"/>
      <c r="K295" s="8"/>
      <c r="L295" s="8"/>
      <c r="Q295" s="8"/>
    </row>
    <row r="296" spans="1:17">
      <c r="A296" s="8"/>
      <c r="B296" s="8"/>
      <c r="C296" s="8"/>
      <c r="D296" s="8"/>
      <c r="E296" s="8"/>
      <c r="F296" s="8"/>
      <c r="G296" s="8"/>
      <c r="H296" s="8"/>
      <c r="I296" s="8"/>
      <c r="J296" s="8"/>
      <c r="K296" s="8"/>
      <c r="L296" s="8"/>
      <c r="Q296" s="8"/>
    </row>
    <row r="297" spans="1:17">
      <c r="A297" s="8"/>
      <c r="B297" s="8"/>
      <c r="C297" s="8"/>
      <c r="D297" s="8"/>
      <c r="E297" s="8"/>
      <c r="F297" s="8"/>
      <c r="G297" s="8"/>
      <c r="H297" s="8"/>
      <c r="I297" s="8"/>
      <c r="J297" s="8"/>
      <c r="K297" s="8"/>
      <c r="L297" s="8"/>
      <c r="Q297" s="8"/>
    </row>
    <row r="298" spans="1:17">
      <c r="A298" s="8"/>
      <c r="B298" s="8"/>
      <c r="C298" s="8"/>
      <c r="D298" s="8"/>
      <c r="E298" s="8"/>
      <c r="F298" s="8"/>
      <c r="G298" s="8"/>
      <c r="H298" s="8"/>
      <c r="I298" s="8"/>
      <c r="J298" s="8"/>
      <c r="K298" s="8"/>
      <c r="L298" s="8"/>
      <c r="Q298" s="8"/>
    </row>
    <row r="299" spans="1:17">
      <c r="A299" s="8"/>
      <c r="B299" s="8"/>
      <c r="C299" s="8"/>
      <c r="D299" s="8"/>
      <c r="E299" s="8"/>
      <c r="F299" s="8"/>
      <c r="G299" s="8"/>
      <c r="H299" s="8"/>
      <c r="I299" s="8"/>
      <c r="J299" s="8"/>
      <c r="K299" s="8"/>
      <c r="L299" s="8"/>
      <c r="Q299" s="8"/>
    </row>
    <row r="300" spans="1:17">
      <c r="A300" s="8"/>
      <c r="B300" s="8"/>
      <c r="C300" s="8"/>
      <c r="D300" s="8"/>
      <c r="E300" s="8"/>
      <c r="F300" s="8"/>
      <c r="G300" s="8"/>
      <c r="H300" s="8"/>
      <c r="I300" s="8"/>
      <c r="J300" s="8"/>
      <c r="K300" s="8"/>
      <c r="L300" s="8"/>
      <c r="Q300" s="8"/>
    </row>
    <row r="301" spans="1:17">
      <c r="A301" s="8"/>
      <c r="B301" s="8"/>
      <c r="C301" s="8"/>
      <c r="D301" s="8"/>
      <c r="E301" s="8"/>
      <c r="F301" s="8"/>
      <c r="G301" s="8"/>
      <c r="H301" s="8"/>
      <c r="I301" s="8"/>
      <c r="J301" s="8"/>
      <c r="K301" s="8"/>
      <c r="L301" s="8"/>
      <c r="Q301" s="8"/>
    </row>
    <row r="302" spans="1:17">
      <c r="A302" s="8"/>
      <c r="B302" s="8"/>
      <c r="C302" s="8"/>
      <c r="D302" s="8"/>
      <c r="E302" s="8"/>
      <c r="F302" s="8"/>
      <c r="G302" s="8"/>
      <c r="H302" s="8"/>
      <c r="I302" s="8"/>
      <c r="J302" s="8"/>
      <c r="K302" s="8"/>
      <c r="L302" s="8"/>
      <c r="Q302" s="8"/>
    </row>
    <row r="303" spans="1:17">
      <c r="A303" s="8"/>
      <c r="B303" s="8"/>
      <c r="C303" s="8"/>
      <c r="D303" s="8"/>
      <c r="E303" s="8"/>
      <c r="F303" s="8"/>
      <c r="G303" s="8"/>
      <c r="H303" s="8"/>
      <c r="I303" s="8"/>
      <c r="J303" s="8"/>
      <c r="K303" s="8"/>
      <c r="L303" s="8"/>
      <c r="Q303" s="8"/>
    </row>
    <row r="304" spans="1:17">
      <c r="A304" s="8"/>
      <c r="B304" s="8"/>
      <c r="C304" s="8"/>
      <c r="D304" s="8"/>
      <c r="E304" s="8"/>
      <c r="F304" s="8"/>
      <c r="G304" s="8"/>
      <c r="H304" s="8"/>
      <c r="I304" s="8"/>
      <c r="J304" s="8"/>
      <c r="K304" s="8"/>
      <c r="L304" s="8"/>
      <c r="Q304" s="8"/>
    </row>
    <row r="305" spans="1:17">
      <c r="A305" s="8"/>
      <c r="B305" s="8"/>
      <c r="C305" s="8"/>
      <c r="D305" s="8"/>
      <c r="E305" s="8"/>
      <c r="F305" s="8"/>
      <c r="G305" s="8"/>
      <c r="H305" s="8"/>
      <c r="I305" s="8"/>
      <c r="J305" s="8"/>
      <c r="K305" s="8"/>
      <c r="L305" s="8"/>
      <c r="Q305" s="8"/>
    </row>
    <row r="306" spans="1:17">
      <c r="A306" s="8"/>
      <c r="B306" s="8"/>
      <c r="C306" s="8"/>
      <c r="D306" s="8"/>
      <c r="E306" s="8"/>
      <c r="F306" s="8"/>
      <c r="G306" s="8"/>
      <c r="H306" s="8"/>
      <c r="I306" s="8"/>
      <c r="J306" s="8"/>
      <c r="K306" s="8"/>
      <c r="L306" s="8"/>
      <c r="Q306" s="8"/>
    </row>
    <row r="307" spans="1:17">
      <c r="A307" s="8"/>
      <c r="B307" s="8"/>
      <c r="C307" s="8"/>
      <c r="D307" s="8"/>
      <c r="E307" s="8"/>
      <c r="F307" s="8"/>
      <c r="G307" s="8"/>
      <c r="H307" s="8"/>
      <c r="I307" s="8"/>
      <c r="J307" s="8"/>
      <c r="K307" s="8"/>
      <c r="L307" s="8"/>
      <c r="Q307" s="8"/>
    </row>
    <row r="308" spans="1:17">
      <c r="A308" s="8"/>
      <c r="B308" s="8"/>
      <c r="C308" s="8"/>
      <c r="D308" s="8"/>
      <c r="E308" s="8"/>
      <c r="F308" s="8"/>
      <c r="G308" s="8"/>
      <c r="H308" s="8"/>
      <c r="I308" s="8"/>
      <c r="J308" s="8"/>
      <c r="K308" s="8"/>
      <c r="L308" s="8"/>
      <c r="Q308" s="8"/>
    </row>
    <row r="309" spans="1:17">
      <c r="A309" s="8"/>
      <c r="B309" s="8"/>
      <c r="C309" s="8"/>
      <c r="D309" s="8"/>
      <c r="E309" s="8"/>
      <c r="F309" s="8"/>
      <c r="G309" s="8"/>
      <c r="H309" s="8"/>
      <c r="I309" s="8"/>
      <c r="J309" s="8"/>
      <c r="K309" s="8"/>
      <c r="L309" s="8"/>
      <c r="Q309" s="8"/>
    </row>
    <row r="310" spans="1:17">
      <c r="A310" s="8"/>
      <c r="B310" s="8"/>
      <c r="C310" s="8"/>
      <c r="D310" s="8"/>
      <c r="E310" s="8"/>
      <c r="F310" s="8"/>
      <c r="G310" s="8"/>
      <c r="H310" s="8"/>
      <c r="I310" s="8"/>
      <c r="J310" s="8"/>
      <c r="K310" s="8"/>
      <c r="L310" s="8"/>
      <c r="Q310" s="8"/>
    </row>
    <row r="311" spans="1:17">
      <c r="A311" s="8"/>
      <c r="B311" s="8"/>
      <c r="C311" s="8"/>
      <c r="D311" s="8"/>
      <c r="E311" s="8"/>
      <c r="F311" s="8"/>
      <c r="G311" s="8"/>
      <c r="H311" s="8"/>
      <c r="I311" s="8"/>
      <c r="J311" s="8"/>
      <c r="K311" s="8"/>
      <c r="L311" s="8"/>
      <c r="Q311" s="8"/>
    </row>
    <row r="312" spans="1:17">
      <c r="A312" s="8"/>
      <c r="B312" s="8"/>
      <c r="C312" s="8"/>
      <c r="D312" s="8"/>
      <c r="E312" s="8"/>
      <c r="F312" s="8"/>
      <c r="G312" s="8"/>
      <c r="H312" s="8"/>
      <c r="I312" s="8"/>
      <c r="J312" s="8"/>
      <c r="K312" s="8"/>
      <c r="L312" s="8"/>
      <c r="Q312" s="8"/>
    </row>
    <row r="313" spans="1:17">
      <c r="A313" s="8"/>
      <c r="B313" s="8"/>
      <c r="C313" s="8"/>
      <c r="D313" s="8"/>
      <c r="E313" s="8"/>
      <c r="F313" s="8"/>
      <c r="G313" s="8"/>
      <c r="H313" s="8"/>
      <c r="I313" s="8"/>
      <c r="J313" s="8"/>
      <c r="K313" s="8"/>
      <c r="L313" s="8"/>
      <c r="Q313" s="8"/>
    </row>
    <row r="314" spans="1:17">
      <c r="A314" s="8"/>
      <c r="B314" s="8"/>
      <c r="C314" s="8"/>
      <c r="D314" s="8"/>
      <c r="E314" s="8"/>
      <c r="F314" s="8"/>
      <c r="G314" s="8"/>
      <c r="H314" s="8"/>
      <c r="I314" s="8"/>
      <c r="J314" s="8"/>
      <c r="K314" s="8"/>
      <c r="L314" s="8"/>
      <c r="Q314" s="8"/>
    </row>
    <row r="315" spans="1:17">
      <c r="A315" s="8"/>
      <c r="B315" s="8"/>
      <c r="C315" s="8"/>
      <c r="D315" s="8"/>
      <c r="E315" s="8"/>
      <c r="F315" s="8"/>
      <c r="G315" s="8"/>
      <c r="H315" s="8"/>
      <c r="I315" s="8"/>
      <c r="J315" s="8"/>
      <c r="K315" s="8"/>
      <c r="L315" s="8"/>
      <c r="Q315" s="8"/>
    </row>
    <row r="316" spans="1:17">
      <c r="A316" s="8"/>
      <c r="B316" s="8"/>
      <c r="C316" s="8"/>
      <c r="D316" s="8"/>
      <c r="E316" s="8"/>
      <c r="F316" s="8"/>
      <c r="G316" s="8"/>
      <c r="H316" s="8"/>
      <c r="I316" s="8"/>
      <c r="J316" s="8"/>
      <c r="K316" s="8"/>
      <c r="L316" s="8"/>
      <c r="Q316" s="8"/>
    </row>
    <row r="317" spans="1:17">
      <c r="A317" s="8"/>
      <c r="B317" s="8"/>
      <c r="C317" s="8"/>
      <c r="D317" s="8"/>
      <c r="E317" s="8"/>
      <c r="F317" s="8"/>
      <c r="G317" s="8"/>
      <c r="H317" s="8"/>
      <c r="I317" s="8"/>
      <c r="J317" s="8"/>
      <c r="K317" s="8"/>
      <c r="L317" s="8"/>
      <c r="Q317" s="8"/>
    </row>
    <row r="318" spans="1:17">
      <c r="A318" s="8"/>
      <c r="B318" s="8"/>
      <c r="C318" s="8"/>
      <c r="D318" s="8"/>
      <c r="E318" s="8"/>
      <c r="F318" s="8"/>
      <c r="G318" s="8"/>
      <c r="H318" s="8"/>
      <c r="I318" s="8"/>
      <c r="J318" s="8"/>
      <c r="K318" s="8"/>
      <c r="L318" s="8"/>
      <c r="Q318" s="8"/>
    </row>
    <row r="319" spans="1:17">
      <c r="A319" s="8"/>
      <c r="B319" s="8"/>
      <c r="C319" s="8"/>
      <c r="D319" s="8"/>
      <c r="E319" s="8"/>
      <c r="F319" s="8"/>
      <c r="G319" s="8"/>
      <c r="H319" s="8"/>
      <c r="I319" s="8"/>
      <c r="J319" s="8"/>
      <c r="K319" s="8"/>
      <c r="L319" s="8"/>
      <c r="Q319" s="8"/>
    </row>
    <row r="320" spans="1:17">
      <c r="A320" s="8"/>
      <c r="B320" s="8"/>
      <c r="C320" s="8"/>
      <c r="D320" s="8"/>
      <c r="E320" s="8"/>
      <c r="F320" s="8"/>
      <c r="G320" s="8"/>
      <c r="H320" s="8"/>
      <c r="I320" s="8"/>
      <c r="J320" s="8"/>
      <c r="K320" s="8"/>
      <c r="L320" s="8"/>
      <c r="Q320" s="8"/>
    </row>
    <row r="321" spans="1:17">
      <c r="A321" s="8"/>
      <c r="B321" s="8"/>
      <c r="C321" s="8"/>
      <c r="D321" s="8"/>
      <c r="E321" s="8"/>
      <c r="F321" s="8"/>
      <c r="G321" s="8"/>
      <c r="H321" s="8"/>
      <c r="I321" s="8"/>
      <c r="J321" s="8"/>
      <c r="K321" s="8"/>
      <c r="L321" s="8"/>
      <c r="Q321" s="8"/>
    </row>
    <row r="322" spans="1:17">
      <c r="A322" s="8"/>
      <c r="B322" s="8"/>
      <c r="C322" s="8"/>
      <c r="D322" s="8"/>
      <c r="E322" s="8"/>
      <c r="F322" s="8"/>
      <c r="G322" s="8"/>
      <c r="H322" s="8"/>
      <c r="I322" s="8"/>
      <c r="J322" s="8"/>
      <c r="K322" s="8"/>
      <c r="L322" s="8"/>
      <c r="Q322" s="8"/>
    </row>
    <row r="323" spans="1:17">
      <c r="A323" s="8"/>
      <c r="B323" s="8"/>
      <c r="C323" s="8"/>
      <c r="D323" s="8"/>
      <c r="E323" s="8"/>
      <c r="F323" s="8"/>
      <c r="G323" s="8"/>
      <c r="H323" s="8"/>
      <c r="I323" s="8"/>
      <c r="J323" s="8"/>
      <c r="K323" s="8"/>
      <c r="L323" s="8"/>
      <c r="Q323" s="8"/>
    </row>
    <row r="324" spans="1:17">
      <c r="A324" s="8"/>
      <c r="B324" s="8"/>
      <c r="C324" s="8"/>
      <c r="D324" s="8"/>
      <c r="E324" s="8"/>
      <c r="F324" s="8"/>
      <c r="G324" s="8"/>
      <c r="H324" s="8"/>
      <c r="I324" s="8"/>
      <c r="J324" s="8"/>
      <c r="K324" s="8"/>
      <c r="L324" s="8"/>
      <c r="Q324" s="8"/>
    </row>
    <row r="325" spans="1:17">
      <c r="A325" s="8"/>
      <c r="B325" s="8"/>
      <c r="C325" s="8"/>
      <c r="D325" s="8"/>
      <c r="E325" s="8"/>
      <c r="F325" s="8"/>
      <c r="G325" s="8"/>
      <c r="H325" s="8"/>
      <c r="I325" s="8"/>
      <c r="J325" s="8"/>
      <c r="K325" s="8"/>
      <c r="L325" s="8"/>
      <c r="Q325" s="8"/>
    </row>
    <row r="326" spans="1:17">
      <c r="A326" s="8"/>
      <c r="B326" s="8"/>
      <c r="C326" s="8"/>
      <c r="D326" s="8"/>
      <c r="E326" s="8"/>
      <c r="F326" s="8"/>
      <c r="G326" s="8"/>
      <c r="H326" s="8"/>
      <c r="I326" s="8"/>
      <c r="J326" s="8"/>
      <c r="K326" s="8"/>
      <c r="L326" s="8"/>
      <c r="Q326" s="8"/>
    </row>
    <row r="327" spans="1:17">
      <c r="A327" s="8"/>
      <c r="B327" s="8"/>
      <c r="C327" s="8"/>
      <c r="D327" s="8"/>
      <c r="E327" s="8"/>
      <c r="F327" s="8"/>
      <c r="G327" s="8"/>
      <c r="H327" s="8"/>
      <c r="I327" s="8"/>
      <c r="J327" s="8"/>
      <c r="K327" s="8"/>
      <c r="L327" s="8"/>
      <c r="Q327" s="8"/>
    </row>
    <row r="328" spans="1:17">
      <c r="A328" s="8"/>
      <c r="B328" s="8"/>
      <c r="C328" s="8"/>
      <c r="D328" s="8"/>
      <c r="E328" s="8"/>
      <c r="F328" s="8"/>
      <c r="G328" s="8"/>
      <c r="H328" s="8"/>
      <c r="I328" s="8"/>
      <c r="J328" s="8"/>
      <c r="K328" s="8"/>
      <c r="L328" s="8"/>
      <c r="Q328" s="8"/>
    </row>
    <row r="329" spans="1:17">
      <c r="A329" s="8"/>
      <c r="B329" s="8"/>
      <c r="C329" s="8"/>
      <c r="D329" s="8"/>
      <c r="E329" s="8"/>
      <c r="F329" s="8"/>
      <c r="G329" s="8"/>
      <c r="H329" s="8"/>
      <c r="I329" s="8"/>
      <c r="J329" s="8"/>
      <c r="K329" s="8"/>
      <c r="L329" s="8"/>
      <c r="Q329" s="8"/>
    </row>
    <row r="330" spans="1:17">
      <c r="A330" s="8"/>
      <c r="B330" s="8"/>
      <c r="C330" s="8"/>
      <c r="D330" s="8"/>
      <c r="E330" s="8"/>
      <c r="F330" s="8"/>
      <c r="G330" s="8"/>
      <c r="H330" s="8"/>
      <c r="I330" s="8"/>
      <c r="J330" s="8"/>
      <c r="K330" s="8"/>
      <c r="L330" s="8"/>
      <c r="Q330" s="8"/>
    </row>
    <row r="331" spans="1:17">
      <c r="A331" s="8"/>
      <c r="B331" s="8"/>
      <c r="C331" s="8"/>
      <c r="D331" s="8"/>
      <c r="E331" s="8"/>
      <c r="F331" s="8"/>
      <c r="G331" s="8"/>
      <c r="H331" s="8"/>
      <c r="I331" s="8"/>
      <c r="J331" s="8"/>
      <c r="K331" s="8"/>
      <c r="L331" s="8"/>
      <c r="Q331" s="8"/>
    </row>
    <row r="332" spans="1:17">
      <c r="A332" s="8"/>
      <c r="B332" s="8"/>
      <c r="C332" s="8"/>
      <c r="D332" s="8"/>
      <c r="E332" s="8"/>
      <c r="F332" s="8"/>
      <c r="G332" s="8"/>
      <c r="H332" s="8"/>
      <c r="I332" s="8"/>
      <c r="J332" s="8"/>
      <c r="K332" s="8"/>
      <c r="L332" s="8"/>
      <c r="Q332" s="8"/>
    </row>
    <row r="333" spans="1:17">
      <c r="A333" s="8"/>
      <c r="B333" s="8"/>
      <c r="C333" s="8"/>
      <c r="D333" s="8"/>
      <c r="E333" s="8"/>
      <c r="F333" s="8"/>
      <c r="G333" s="8"/>
      <c r="H333" s="8"/>
      <c r="I333" s="8"/>
      <c r="J333" s="8"/>
      <c r="K333" s="8"/>
      <c r="L333" s="8"/>
      <c r="Q333" s="8"/>
    </row>
    <row r="334" spans="1:17">
      <c r="A334" s="8"/>
      <c r="B334" s="8"/>
      <c r="C334" s="8"/>
      <c r="D334" s="8"/>
      <c r="E334" s="8"/>
      <c r="F334" s="8"/>
      <c r="G334" s="8"/>
      <c r="H334" s="8"/>
      <c r="I334" s="8"/>
      <c r="J334" s="8"/>
      <c r="K334" s="8"/>
      <c r="L334" s="8"/>
      <c r="Q334" s="8"/>
    </row>
    <row r="335" spans="1:17">
      <c r="A335" s="8"/>
      <c r="B335" s="8"/>
      <c r="C335" s="8"/>
      <c r="D335" s="8"/>
      <c r="E335" s="8"/>
      <c r="F335" s="8"/>
      <c r="G335" s="8"/>
      <c r="H335" s="8"/>
      <c r="I335" s="8"/>
      <c r="J335" s="8"/>
      <c r="K335" s="8"/>
      <c r="L335" s="8"/>
      <c r="Q335" s="8"/>
    </row>
    <row r="336" spans="1:17">
      <c r="A336" s="8"/>
      <c r="B336" s="8"/>
      <c r="C336" s="8"/>
      <c r="D336" s="8"/>
      <c r="E336" s="8"/>
      <c r="F336" s="8"/>
      <c r="G336" s="8"/>
      <c r="H336" s="8"/>
      <c r="I336" s="8"/>
      <c r="J336" s="8"/>
      <c r="K336" s="8"/>
      <c r="L336" s="8"/>
      <c r="Q336" s="8"/>
    </row>
    <row r="337" spans="1:17">
      <c r="A337" s="8"/>
      <c r="B337" s="8"/>
      <c r="C337" s="8"/>
      <c r="D337" s="8"/>
      <c r="E337" s="8"/>
      <c r="F337" s="8"/>
      <c r="G337" s="8"/>
      <c r="H337" s="8"/>
      <c r="I337" s="8"/>
      <c r="J337" s="8"/>
      <c r="K337" s="8"/>
      <c r="L337" s="8"/>
      <c r="Q337" s="8"/>
    </row>
    <row r="338" spans="1:17">
      <c r="A338" s="8"/>
      <c r="B338" s="8"/>
      <c r="C338" s="8"/>
      <c r="D338" s="8"/>
      <c r="E338" s="8"/>
      <c r="F338" s="8"/>
      <c r="G338" s="8"/>
      <c r="H338" s="8"/>
      <c r="I338" s="8"/>
      <c r="J338" s="8"/>
      <c r="K338" s="8"/>
      <c r="L338" s="8"/>
      <c r="Q338" s="8"/>
    </row>
    <row r="339" spans="1:17">
      <c r="A339" s="8"/>
      <c r="B339" s="8"/>
      <c r="C339" s="8"/>
      <c r="D339" s="8"/>
      <c r="E339" s="8"/>
      <c r="F339" s="8"/>
      <c r="G339" s="8"/>
      <c r="H339" s="8"/>
      <c r="I339" s="8"/>
      <c r="J339" s="8"/>
      <c r="K339" s="8"/>
      <c r="L339" s="8"/>
      <c r="Q339" s="8"/>
    </row>
    <row r="340" spans="1:17">
      <c r="A340" s="8"/>
      <c r="B340" s="8"/>
      <c r="C340" s="8"/>
      <c r="D340" s="8"/>
      <c r="E340" s="8"/>
      <c r="F340" s="8"/>
      <c r="G340" s="8"/>
      <c r="H340" s="8"/>
      <c r="I340" s="8"/>
      <c r="J340" s="8"/>
      <c r="K340" s="8"/>
      <c r="L340" s="8"/>
      <c r="Q340" s="8"/>
    </row>
    <row r="341" spans="1:17">
      <c r="A341" s="8"/>
      <c r="B341" s="8"/>
      <c r="C341" s="8"/>
      <c r="D341" s="8"/>
      <c r="E341" s="8"/>
      <c r="F341" s="8"/>
      <c r="G341" s="8"/>
      <c r="H341" s="8"/>
      <c r="I341" s="8"/>
      <c r="J341" s="8"/>
      <c r="K341" s="8"/>
      <c r="L341" s="8"/>
      <c r="Q341" s="8"/>
    </row>
    <row r="342" spans="1:17">
      <c r="A342" s="8"/>
      <c r="B342" s="8"/>
      <c r="C342" s="8"/>
      <c r="D342" s="8"/>
      <c r="E342" s="8"/>
      <c r="F342" s="8"/>
      <c r="G342" s="8"/>
      <c r="H342" s="8"/>
      <c r="I342" s="8"/>
      <c r="J342" s="8"/>
      <c r="K342" s="8"/>
      <c r="L342" s="8"/>
      <c r="Q342" s="8"/>
    </row>
    <row r="343" spans="1:17">
      <c r="A343" s="8"/>
      <c r="B343" s="8"/>
      <c r="C343" s="8"/>
      <c r="D343" s="8"/>
      <c r="E343" s="8"/>
      <c r="F343" s="8"/>
      <c r="G343" s="8"/>
      <c r="H343" s="8"/>
      <c r="I343" s="8"/>
      <c r="J343" s="8"/>
      <c r="K343" s="8"/>
      <c r="L343" s="8"/>
      <c r="Q343" s="8"/>
    </row>
    <row r="344" spans="1:17">
      <c r="A344" s="8"/>
      <c r="B344" s="8"/>
      <c r="C344" s="8"/>
      <c r="D344" s="8"/>
      <c r="E344" s="8"/>
      <c r="F344" s="8"/>
      <c r="G344" s="8"/>
      <c r="H344" s="8"/>
      <c r="I344" s="8"/>
      <c r="J344" s="8"/>
      <c r="K344" s="8"/>
      <c r="L344" s="8"/>
      <c r="Q344" s="8"/>
    </row>
    <row r="345" spans="1:17">
      <c r="A345" s="8"/>
      <c r="B345" s="8"/>
      <c r="C345" s="8"/>
      <c r="D345" s="8"/>
      <c r="E345" s="8"/>
      <c r="F345" s="8"/>
      <c r="G345" s="8"/>
      <c r="H345" s="8"/>
      <c r="I345" s="8"/>
      <c r="J345" s="8"/>
      <c r="K345" s="8"/>
      <c r="L345" s="8"/>
      <c r="Q345" s="8"/>
    </row>
    <row r="346" spans="1:17">
      <c r="A346" s="8"/>
      <c r="B346" s="8"/>
      <c r="C346" s="8"/>
      <c r="D346" s="8"/>
      <c r="E346" s="8"/>
      <c r="F346" s="8"/>
      <c r="G346" s="8"/>
      <c r="H346" s="8"/>
      <c r="I346" s="8"/>
      <c r="J346" s="8"/>
      <c r="K346" s="8"/>
      <c r="L346" s="8"/>
      <c r="Q346" s="8"/>
    </row>
    <row r="347" spans="1:17">
      <c r="A347" s="8"/>
      <c r="B347" s="8"/>
      <c r="C347" s="8"/>
      <c r="D347" s="8"/>
      <c r="E347" s="8"/>
      <c r="F347" s="8"/>
      <c r="G347" s="8"/>
      <c r="H347" s="8"/>
      <c r="I347" s="8"/>
      <c r="J347" s="8"/>
      <c r="K347" s="8"/>
      <c r="L347" s="8"/>
      <c r="Q347" s="8"/>
    </row>
    <row r="348" spans="1:17">
      <c r="A348" s="8"/>
      <c r="B348" s="8"/>
      <c r="C348" s="8"/>
      <c r="D348" s="8"/>
      <c r="E348" s="8"/>
      <c r="F348" s="8"/>
      <c r="G348" s="8"/>
      <c r="H348" s="8"/>
      <c r="I348" s="8"/>
      <c r="J348" s="8"/>
      <c r="K348" s="8"/>
      <c r="L348" s="8"/>
      <c r="Q348" s="8"/>
    </row>
    <row r="349" spans="1:17">
      <c r="A349" s="8"/>
      <c r="B349" s="8"/>
      <c r="C349" s="8"/>
      <c r="D349" s="8"/>
      <c r="E349" s="8"/>
      <c r="F349" s="8"/>
      <c r="G349" s="8"/>
      <c r="H349" s="8"/>
      <c r="I349" s="8"/>
      <c r="J349" s="8"/>
      <c r="K349" s="8"/>
      <c r="L349" s="8"/>
      <c r="Q349" s="8"/>
    </row>
    <row r="350" spans="1:17">
      <c r="A350" s="8"/>
      <c r="B350" s="8"/>
      <c r="C350" s="8"/>
      <c r="D350" s="8"/>
      <c r="E350" s="8"/>
      <c r="F350" s="8"/>
      <c r="G350" s="8"/>
      <c r="H350" s="8"/>
      <c r="I350" s="8"/>
      <c r="J350" s="8"/>
      <c r="K350" s="8"/>
      <c r="L350" s="8"/>
      <c r="Q350" s="8"/>
    </row>
    <row r="351" spans="1:17">
      <c r="A351" s="8"/>
      <c r="B351" s="8"/>
      <c r="C351" s="8"/>
      <c r="D351" s="8"/>
      <c r="E351" s="8"/>
      <c r="F351" s="8"/>
      <c r="G351" s="8"/>
      <c r="H351" s="8"/>
      <c r="I351" s="8"/>
      <c r="J351" s="8"/>
      <c r="K351" s="8"/>
      <c r="L351" s="8"/>
      <c r="Q351" s="8"/>
    </row>
    <row r="352" spans="1:17">
      <c r="A352" s="8"/>
      <c r="B352" s="8"/>
      <c r="C352" s="8"/>
      <c r="D352" s="8"/>
      <c r="E352" s="8"/>
      <c r="F352" s="8"/>
      <c r="G352" s="8"/>
      <c r="H352" s="8"/>
      <c r="I352" s="8"/>
      <c r="J352" s="8"/>
      <c r="K352" s="8"/>
      <c r="L352" s="8"/>
      <c r="Q352" s="8"/>
    </row>
    <row r="353" spans="1:17">
      <c r="A353" s="8"/>
      <c r="B353" s="8"/>
      <c r="C353" s="8"/>
      <c r="D353" s="8"/>
      <c r="E353" s="8"/>
      <c r="F353" s="8"/>
      <c r="G353" s="8"/>
      <c r="H353" s="8"/>
      <c r="I353" s="8"/>
      <c r="J353" s="8"/>
      <c r="K353" s="8"/>
      <c r="L353" s="8"/>
      <c r="Q353" s="8"/>
    </row>
    <row r="354" spans="1:17">
      <c r="A354" s="8"/>
      <c r="B354" s="8"/>
      <c r="C354" s="8"/>
      <c r="D354" s="8"/>
      <c r="E354" s="8"/>
      <c r="F354" s="8"/>
      <c r="G354" s="8"/>
      <c r="H354" s="8"/>
      <c r="I354" s="8"/>
      <c r="J354" s="8"/>
      <c r="K354" s="8"/>
      <c r="L354" s="8"/>
      <c r="Q354" s="8"/>
    </row>
    <row r="355" spans="1:17">
      <c r="A355" s="8"/>
      <c r="B355" s="8"/>
      <c r="C355" s="8"/>
      <c r="D355" s="8"/>
      <c r="E355" s="8"/>
      <c r="F355" s="8"/>
      <c r="G355" s="8"/>
      <c r="H355" s="8"/>
      <c r="I355" s="8"/>
      <c r="J355" s="8"/>
      <c r="K355" s="8"/>
      <c r="L355" s="8"/>
      <c r="Q355" s="8"/>
    </row>
    <row r="356" spans="1:17">
      <c r="A356" s="8"/>
      <c r="B356" s="8"/>
      <c r="C356" s="8"/>
      <c r="D356" s="8"/>
      <c r="E356" s="8"/>
      <c r="F356" s="8"/>
      <c r="G356" s="8"/>
      <c r="H356" s="8"/>
      <c r="I356" s="8"/>
      <c r="J356" s="8"/>
      <c r="K356" s="8"/>
      <c r="L356" s="8"/>
      <c r="Q356" s="8"/>
    </row>
    <row r="357" spans="1:17">
      <c r="A357" s="8"/>
      <c r="B357" s="8"/>
      <c r="C357" s="8"/>
      <c r="D357" s="8"/>
      <c r="E357" s="8"/>
      <c r="F357" s="8"/>
      <c r="G357" s="8"/>
      <c r="H357" s="8"/>
      <c r="I357" s="8"/>
      <c r="J357" s="8"/>
      <c r="K357" s="8"/>
      <c r="L357" s="8"/>
      <c r="Q357" s="8"/>
    </row>
    <row r="358" spans="1:17">
      <c r="A358" s="8"/>
      <c r="B358" s="8"/>
      <c r="C358" s="8"/>
      <c r="D358" s="8"/>
      <c r="E358" s="8"/>
      <c r="F358" s="8"/>
      <c r="G358" s="8"/>
      <c r="H358" s="8"/>
      <c r="I358" s="8"/>
      <c r="J358" s="8"/>
      <c r="K358" s="8"/>
      <c r="L358" s="8"/>
      <c r="Q358" s="8"/>
    </row>
    <row r="359" spans="1:17">
      <c r="A359" s="8"/>
      <c r="B359" s="8"/>
      <c r="C359" s="8"/>
      <c r="D359" s="8"/>
      <c r="E359" s="8"/>
      <c r="F359" s="8"/>
      <c r="G359" s="8"/>
      <c r="H359" s="8"/>
      <c r="I359" s="8"/>
      <c r="J359" s="8"/>
      <c r="K359" s="8"/>
      <c r="L359" s="8"/>
      <c r="Q359" s="8"/>
    </row>
    <row r="360" spans="1:17">
      <c r="A360" s="8"/>
      <c r="B360" s="8"/>
      <c r="C360" s="8"/>
      <c r="D360" s="8"/>
      <c r="E360" s="8"/>
      <c r="F360" s="8"/>
      <c r="G360" s="8"/>
      <c r="H360" s="8"/>
      <c r="I360" s="8"/>
      <c r="J360" s="8"/>
      <c r="K360" s="8"/>
      <c r="L360" s="8"/>
      <c r="Q360" s="8"/>
    </row>
    <row r="361" spans="1:17">
      <c r="A361" s="8"/>
      <c r="B361" s="8"/>
      <c r="C361" s="8"/>
      <c r="D361" s="8"/>
      <c r="E361" s="8"/>
      <c r="F361" s="8"/>
      <c r="G361" s="8"/>
      <c r="H361" s="8"/>
      <c r="I361" s="8"/>
      <c r="J361" s="8"/>
      <c r="K361" s="8"/>
      <c r="L361" s="8"/>
      <c r="Q361" s="8"/>
    </row>
    <row r="362" spans="1:17">
      <c r="A362" s="8"/>
      <c r="B362" s="8"/>
      <c r="C362" s="8"/>
      <c r="D362" s="8"/>
      <c r="E362" s="8"/>
      <c r="F362" s="8"/>
      <c r="G362" s="8"/>
      <c r="H362" s="8"/>
      <c r="I362" s="8"/>
      <c r="J362" s="8"/>
      <c r="K362" s="8"/>
      <c r="L362" s="8"/>
      <c r="Q362" s="8"/>
    </row>
    <row r="363" spans="1:17">
      <c r="A363" s="8"/>
      <c r="B363" s="8"/>
      <c r="C363" s="8"/>
      <c r="D363" s="8"/>
      <c r="E363" s="8"/>
      <c r="F363" s="8"/>
      <c r="G363" s="8"/>
      <c r="H363" s="8"/>
      <c r="I363" s="8"/>
      <c r="J363" s="8"/>
      <c r="K363" s="8"/>
      <c r="L363" s="8"/>
      <c r="Q363" s="8"/>
    </row>
    <row r="364" spans="1:17">
      <c r="A364" s="8"/>
      <c r="B364" s="8"/>
      <c r="C364" s="8"/>
      <c r="D364" s="8"/>
      <c r="E364" s="8"/>
      <c r="F364" s="8"/>
      <c r="G364" s="8"/>
      <c r="H364" s="8"/>
      <c r="I364" s="8"/>
      <c r="J364" s="8"/>
      <c r="K364" s="8"/>
      <c r="L364" s="8"/>
      <c r="Q364" s="8"/>
    </row>
    <row r="365" spans="1:17">
      <c r="A365" s="8"/>
      <c r="B365" s="8"/>
      <c r="C365" s="8"/>
      <c r="D365" s="8"/>
      <c r="E365" s="8"/>
      <c r="F365" s="8"/>
      <c r="G365" s="8"/>
      <c r="H365" s="8"/>
      <c r="I365" s="8"/>
      <c r="J365" s="8"/>
      <c r="K365" s="8"/>
      <c r="L365" s="8"/>
      <c r="Q365" s="8"/>
    </row>
    <row r="366" spans="1:17">
      <c r="A366" s="8"/>
      <c r="B366" s="8"/>
      <c r="C366" s="8"/>
      <c r="D366" s="8"/>
      <c r="E366" s="8"/>
      <c r="F366" s="8"/>
      <c r="G366" s="8"/>
      <c r="H366" s="8"/>
      <c r="I366" s="8"/>
      <c r="J366" s="8"/>
      <c r="K366" s="8"/>
      <c r="L366" s="8"/>
      <c r="Q366" s="8"/>
    </row>
    <row r="367" spans="1:17">
      <c r="A367" s="8"/>
      <c r="B367" s="8"/>
      <c r="C367" s="8"/>
      <c r="D367" s="8"/>
      <c r="E367" s="8"/>
      <c r="F367" s="8"/>
      <c r="G367" s="8"/>
      <c r="H367" s="8"/>
      <c r="I367" s="8"/>
      <c r="J367" s="8"/>
      <c r="K367" s="8"/>
      <c r="L367" s="8"/>
      <c r="Q367" s="8"/>
    </row>
    <row r="368" spans="1:17">
      <c r="A368" s="8"/>
      <c r="B368" s="8"/>
      <c r="C368" s="8"/>
      <c r="D368" s="8"/>
      <c r="E368" s="8"/>
      <c r="F368" s="8"/>
      <c r="G368" s="8"/>
      <c r="H368" s="8"/>
      <c r="I368" s="8"/>
      <c r="J368" s="8"/>
      <c r="K368" s="8"/>
      <c r="L368" s="8"/>
      <c r="Q368" s="8"/>
    </row>
    <row r="369" spans="1:17">
      <c r="A369" s="8"/>
      <c r="B369" s="8"/>
      <c r="C369" s="8"/>
      <c r="D369" s="8"/>
      <c r="E369" s="8"/>
      <c r="F369" s="8"/>
      <c r="G369" s="8"/>
      <c r="H369" s="8"/>
      <c r="I369" s="8"/>
      <c r="J369" s="8"/>
      <c r="K369" s="8"/>
      <c r="L369" s="8"/>
      <c r="Q369" s="8"/>
    </row>
    <row r="370" spans="1:17">
      <c r="A370" s="8"/>
      <c r="B370" s="8"/>
      <c r="C370" s="8"/>
      <c r="D370" s="8"/>
      <c r="E370" s="8"/>
      <c r="F370" s="8"/>
      <c r="G370" s="8"/>
      <c r="H370" s="8"/>
      <c r="I370" s="8"/>
      <c r="J370" s="8"/>
      <c r="K370" s="8"/>
      <c r="L370" s="8"/>
      <c r="Q370" s="8"/>
    </row>
    <row r="371" spans="1:17">
      <c r="A371" s="8"/>
      <c r="B371" s="8"/>
      <c r="C371" s="8"/>
      <c r="D371" s="8"/>
      <c r="E371" s="8"/>
      <c r="F371" s="8"/>
      <c r="G371" s="8"/>
      <c r="H371" s="8"/>
      <c r="I371" s="8"/>
      <c r="J371" s="8"/>
      <c r="K371" s="8"/>
      <c r="L371" s="8"/>
      <c r="Q371" s="8"/>
    </row>
    <row r="372" spans="1:17">
      <c r="A372" s="8"/>
      <c r="B372" s="8"/>
      <c r="C372" s="8"/>
      <c r="D372" s="8"/>
      <c r="E372" s="8"/>
      <c r="F372" s="8"/>
      <c r="G372" s="8"/>
      <c r="H372" s="8"/>
      <c r="I372" s="8"/>
      <c r="J372" s="8"/>
      <c r="K372" s="8"/>
      <c r="L372" s="8"/>
      <c r="Q372" s="8"/>
    </row>
    <row r="373" spans="1:17">
      <c r="A373" s="8"/>
      <c r="B373" s="8"/>
      <c r="C373" s="8"/>
      <c r="D373" s="8"/>
      <c r="E373" s="8"/>
      <c r="F373" s="8"/>
      <c r="G373" s="8"/>
      <c r="H373" s="8"/>
      <c r="I373" s="8"/>
      <c r="J373" s="8"/>
      <c r="K373" s="8"/>
      <c r="L373" s="8"/>
      <c r="Q373" s="8"/>
    </row>
    <row r="374" spans="1:17">
      <c r="A374" s="8"/>
      <c r="B374" s="8"/>
      <c r="C374" s="8"/>
      <c r="D374" s="8"/>
      <c r="E374" s="8"/>
      <c r="F374" s="8"/>
      <c r="G374" s="8"/>
      <c r="H374" s="8"/>
      <c r="I374" s="8"/>
      <c r="J374" s="8"/>
      <c r="K374" s="8"/>
      <c r="L374" s="8"/>
      <c r="Q374" s="8"/>
    </row>
    <row r="375" spans="1:17">
      <c r="A375" s="8"/>
      <c r="B375" s="8"/>
      <c r="C375" s="8"/>
      <c r="D375" s="8"/>
      <c r="E375" s="8"/>
      <c r="F375" s="8"/>
      <c r="G375" s="8"/>
      <c r="H375" s="8"/>
      <c r="I375" s="8"/>
      <c r="J375" s="8"/>
      <c r="K375" s="8"/>
      <c r="L375" s="8"/>
      <c r="Q375" s="8"/>
    </row>
    <row r="376" spans="1:17">
      <c r="A376" s="8"/>
      <c r="B376" s="8"/>
      <c r="C376" s="8"/>
      <c r="D376" s="8"/>
      <c r="E376" s="8"/>
      <c r="F376" s="8"/>
      <c r="G376" s="8"/>
      <c r="H376" s="8"/>
      <c r="I376" s="8"/>
      <c r="J376" s="8"/>
      <c r="K376" s="8"/>
      <c r="L376" s="8"/>
      <c r="Q376" s="8"/>
    </row>
    <row r="377" spans="1:17">
      <c r="A377" s="8"/>
      <c r="B377" s="8"/>
      <c r="C377" s="8"/>
      <c r="D377" s="8"/>
      <c r="E377" s="8"/>
      <c r="F377" s="8"/>
      <c r="G377" s="8"/>
      <c r="H377" s="8"/>
      <c r="I377" s="8"/>
      <c r="J377" s="8"/>
      <c r="K377" s="8"/>
      <c r="L377" s="8"/>
      <c r="Q377" s="8"/>
    </row>
    <row r="378" spans="1:17">
      <c r="A378" s="8"/>
      <c r="B378" s="8"/>
      <c r="C378" s="8"/>
      <c r="D378" s="8"/>
      <c r="E378" s="8"/>
      <c r="F378" s="8"/>
      <c r="G378" s="8"/>
      <c r="H378" s="8"/>
      <c r="I378" s="8"/>
      <c r="J378" s="8"/>
      <c r="K378" s="8"/>
      <c r="L378" s="8"/>
      <c r="Q378" s="8"/>
    </row>
    <row r="379" spans="1:17">
      <c r="A379" s="8"/>
      <c r="B379" s="8"/>
      <c r="C379" s="8"/>
      <c r="D379" s="8"/>
      <c r="E379" s="8"/>
      <c r="F379" s="8"/>
      <c r="G379" s="8"/>
      <c r="H379" s="8"/>
      <c r="I379" s="8"/>
      <c r="J379" s="8"/>
      <c r="K379" s="8"/>
      <c r="L379" s="8"/>
      <c r="Q379" s="8"/>
    </row>
    <row r="380" spans="1:17">
      <c r="A380" s="8"/>
      <c r="B380" s="8"/>
      <c r="C380" s="8"/>
      <c r="D380" s="8"/>
      <c r="E380" s="8"/>
      <c r="F380" s="8"/>
      <c r="G380" s="8"/>
      <c r="H380" s="8"/>
      <c r="I380" s="8"/>
      <c r="J380" s="8"/>
      <c r="K380" s="8"/>
      <c r="L380" s="8"/>
      <c r="Q380" s="8"/>
    </row>
    <row r="381" spans="1:17">
      <c r="A381" s="8"/>
      <c r="B381" s="8"/>
      <c r="C381" s="8"/>
      <c r="D381" s="8"/>
      <c r="E381" s="8"/>
      <c r="F381" s="8"/>
      <c r="G381" s="8"/>
      <c r="H381" s="8"/>
      <c r="I381" s="8"/>
      <c r="J381" s="8"/>
      <c r="K381" s="8"/>
      <c r="L381" s="8"/>
      <c r="Q381" s="8"/>
    </row>
    <row r="382" spans="1:17">
      <c r="A382" s="8"/>
      <c r="B382" s="8"/>
      <c r="C382" s="8"/>
      <c r="D382" s="8"/>
      <c r="E382" s="8"/>
      <c r="F382" s="8"/>
      <c r="G382" s="8"/>
      <c r="H382" s="8"/>
      <c r="I382" s="8"/>
      <c r="J382" s="8"/>
      <c r="K382" s="8"/>
      <c r="L382" s="8"/>
      <c r="Q382" s="8"/>
    </row>
    <row r="383" spans="1:17">
      <c r="A383" s="8"/>
      <c r="B383" s="8"/>
      <c r="C383" s="8"/>
      <c r="D383" s="8"/>
      <c r="E383" s="8"/>
      <c r="F383" s="8"/>
      <c r="G383" s="8"/>
      <c r="H383" s="8"/>
      <c r="I383" s="8"/>
      <c r="J383" s="8"/>
      <c r="K383" s="8"/>
      <c r="L383" s="8"/>
      <c r="Q383" s="8"/>
    </row>
    <row r="384" spans="1:17">
      <c r="A384" s="8"/>
      <c r="B384" s="8"/>
      <c r="C384" s="8"/>
      <c r="D384" s="8"/>
      <c r="E384" s="8"/>
      <c r="F384" s="8"/>
      <c r="G384" s="8"/>
      <c r="H384" s="8"/>
      <c r="I384" s="8"/>
      <c r="J384" s="8"/>
      <c r="K384" s="8"/>
      <c r="L384" s="8"/>
      <c r="Q384" s="8"/>
    </row>
    <row r="385" spans="1:17">
      <c r="A385" s="8"/>
      <c r="B385" s="8"/>
      <c r="C385" s="8"/>
      <c r="D385" s="8"/>
      <c r="E385" s="8"/>
      <c r="F385" s="8"/>
      <c r="G385" s="8"/>
      <c r="H385" s="8"/>
      <c r="I385" s="8"/>
      <c r="J385" s="8"/>
      <c r="K385" s="8"/>
      <c r="L385" s="8"/>
      <c r="Q385" s="8"/>
    </row>
    <row r="386" spans="1:17">
      <c r="A386" s="8"/>
      <c r="B386" s="8"/>
      <c r="C386" s="8"/>
      <c r="D386" s="8"/>
      <c r="E386" s="8"/>
      <c r="F386" s="8"/>
      <c r="G386" s="8"/>
      <c r="H386" s="8"/>
      <c r="I386" s="8"/>
      <c r="J386" s="8"/>
      <c r="K386" s="8"/>
      <c r="L386" s="8"/>
      <c r="Q386" s="8"/>
    </row>
    <row r="387" spans="1:17">
      <c r="A387" s="8"/>
      <c r="B387" s="8"/>
      <c r="C387" s="8"/>
      <c r="D387" s="8"/>
      <c r="E387" s="8"/>
      <c r="F387" s="8"/>
      <c r="G387" s="8"/>
      <c r="H387" s="8"/>
      <c r="I387" s="8"/>
      <c r="J387" s="8"/>
      <c r="K387" s="8"/>
      <c r="L387" s="8"/>
      <c r="Q387" s="8"/>
    </row>
    <row r="388" spans="1:17">
      <c r="A388" s="8"/>
      <c r="B388" s="8"/>
      <c r="C388" s="8"/>
      <c r="D388" s="8"/>
      <c r="E388" s="8"/>
      <c r="F388" s="8"/>
      <c r="G388" s="8"/>
      <c r="H388" s="8"/>
      <c r="I388" s="8"/>
      <c r="J388" s="8"/>
      <c r="K388" s="8"/>
      <c r="L388" s="8"/>
      <c r="Q388" s="8"/>
    </row>
    <row r="389" spans="1:17">
      <c r="A389" s="8"/>
      <c r="B389" s="8"/>
      <c r="C389" s="8"/>
      <c r="D389" s="8"/>
      <c r="E389" s="8"/>
      <c r="F389" s="8"/>
      <c r="G389" s="8"/>
      <c r="H389" s="8"/>
      <c r="I389" s="8"/>
      <c r="J389" s="8"/>
      <c r="K389" s="8"/>
      <c r="L389" s="8"/>
      <c r="Q389" s="8"/>
    </row>
    <row r="390" spans="1:17">
      <c r="Q390" s="8"/>
    </row>
    <row r="391" spans="1:17">
      <c r="Q391" s="8"/>
    </row>
    <row r="392" spans="1:17">
      <c r="Q392" s="8"/>
    </row>
    <row r="393" spans="1:17">
      <c r="Q393" s="8"/>
    </row>
    <row r="394" spans="1:17">
      <c r="Q394" s="8"/>
    </row>
    <row r="395" spans="1:17">
      <c r="Q395" s="8"/>
    </row>
    <row r="396" spans="1:17">
      <c r="Q396" s="8"/>
    </row>
    <row r="397" spans="1:17">
      <c r="Q397" s="8"/>
    </row>
    <row r="398" spans="1:17">
      <c r="Q398" s="8"/>
    </row>
    <row r="399" spans="1:17">
      <c r="Q399" s="8"/>
    </row>
    <row r="400" spans="1:17">
      <c r="Q400" s="8"/>
    </row>
    <row r="401" spans="17:17">
      <c r="Q401" s="8"/>
    </row>
    <row r="402" spans="17:17">
      <c r="Q402" s="8"/>
    </row>
    <row r="403" spans="17:17">
      <c r="Q403" s="8"/>
    </row>
    <row r="404" spans="17:17">
      <c r="Q404" s="8"/>
    </row>
    <row r="405" spans="17:17">
      <c r="Q405" s="8"/>
    </row>
    <row r="406" spans="17:17">
      <c r="Q406" s="8"/>
    </row>
    <row r="407" spans="17:17">
      <c r="Q407" s="8"/>
    </row>
    <row r="408" spans="17:17">
      <c r="Q408" s="8"/>
    </row>
    <row r="409" spans="17:17">
      <c r="Q409" s="8"/>
    </row>
    <row r="410" spans="17:17">
      <c r="Q410" s="8"/>
    </row>
    <row r="411" spans="17:17">
      <c r="Q411" s="8"/>
    </row>
    <row r="412" spans="17:17">
      <c r="Q412" s="8"/>
    </row>
    <row r="413" spans="17:17">
      <c r="Q413" s="8"/>
    </row>
    <row r="414" spans="17:17">
      <c r="Q414" s="8"/>
    </row>
    <row r="415" spans="17:17">
      <c r="Q415" s="8"/>
    </row>
    <row r="416" spans="17:17">
      <c r="Q416" s="8"/>
    </row>
    <row r="417" spans="17:17">
      <c r="Q417" s="8"/>
    </row>
    <row r="418" spans="17:17">
      <c r="Q418" s="8"/>
    </row>
    <row r="419" spans="17:17">
      <c r="Q419" s="8"/>
    </row>
    <row r="420" spans="17:17">
      <c r="Q420" s="8"/>
    </row>
    <row r="421" spans="17:17">
      <c r="Q421" s="8"/>
    </row>
    <row r="422" spans="17:17">
      <c r="Q422" s="8"/>
    </row>
    <row r="423" spans="17:17">
      <c r="Q423" s="8"/>
    </row>
    <row r="424" spans="17:17">
      <c r="Q424" s="8"/>
    </row>
    <row r="425" spans="17:17">
      <c r="Q425" s="8"/>
    </row>
    <row r="426" spans="17:17">
      <c r="Q426" s="8"/>
    </row>
    <row r="427" spans="17:17">
      <c r="Q427" s="8"/>
    </row>
    <row r="428" spans="17:17">
      <c r="Q428" s="8"/>
    </row>
    <row r="429" spans="17:17">
      <c r="Q429" s="8"/>
    </row>
    <row r="430" spans="17:17">
      <c r="Q430" s="8"/>
    </row>
    <row r="431" spans="17:17">
      <c r="Q431" s="8"/>
    </row>
    <row r="432" spans="17:17">
      <c r="Q432" s="8"/>
    </row>
    <row r="433" spans="17:17">
      <c r="Q433" s="8"/>
    </row>
    <row r="434" spans="17:17">
      <c r="Q434" s="8"/>
    </row>
    <row r="435" spans="17:17">
      <c r="Q435" s="8"/>
    </row>
    <row r="436" spans="17:17">
      <c r="Q436" s="8"/>
    </row>
    <row r="437" spans="17:17">
      <c r="Q437" s="8"/>
    </row>
    <row r="438" spans="17:17">
      <c r="Q438" s="8"/>
    </row>
    <row r="439" spans="17:17">
      <c r="Q439" s="8"/>
    </row>
    <row r="440" spans="17:17">
      <c r="Q440" s="8"/>
    </row>
    <row r="441" spans="17:17">
      <c r="Q441" s="8"/>
    </row>
    <row r="442" spans="17:17">
      <c r="Q442" s="8"/>
    </row>
    <row r="443" spans="17:17">
      <c r="Q443" s="8"/>
    </row>
    <row r="444" spans="17:17">
      <c r="Q444" s="8"/>
    </row>
    <row r="445" spans="17:17">
      <c r="Q445" s="8"/>
    </row>
    <row r="446" spans="17:17">
      <c r="Q446" s="8"/>
    </row>
    <row r="447" spans="17:17">
      <c r="Q447" s="8"/>
    </row>
    <row r="448" spans="17:17">
      <c r="Q448" s="8"/>
    </row>
    <row r="449" spans="17:17">
      <c r="Q449" s="8"/>
    </row>
    <row r="450" spans="17:17">
      <c r="Q450" s="8"/>
    </row>
    <row r="451" spans="17:17">
      <c r="Q451" s="8"/>
    </row>
    <row r="452" spans="17:17">
      <c r="Q452" s="8"/>
    </row>
    <row r="453" spans="17:17">
      <c r="Q453" s="8"/>
    </row>
    <row r="454" spans="17:17">
      <c r="Q454" s="8"/>
    </row>
    <row r="455" spans="17:17">
      <c r="Q455" s="8"/>
    </row>
    <row r="456" spans="17:17">
      <c r="Q456" s="8"/>
    </row>
    <row r="457" spans="17:17">
      <c r="Q457" s="8"/>
    </row>
    <row r="458" spans="17:17">
      <c r="Q458" s="8"/>
    </row>
    <row r="459" spans="17:17">
      <c r="Q459" s="8"/>
    </row>
    <row r="460" spans="17:17">
      <c r="Q460" s="8"/>
    </row>
    <row r="461" spans="17:17">
      <c r="Q461" s="8"/>
    </row>
    <row r="462" spans="17:17">
      <c r="Q462" s="8"/>
    </row>
    <row r="463" spans="17:17">
      <c r="Q463" s="8"/>
    </row>
    <row r="464" spans="17:17">
      <c r="Q464" s="8"/>
    </row>
    <row r="465" spans="17:17">
      <c r="Q465" s="8"/>
    </row>
    <row r="466" spans="17:17">
      <c r="Q466" s="8"/>
    </row>
    <row r="467" spans="17:17">
      <c r="Q467" s="8"/>
    </row>
    <row r="468" spans="17:17">
      <c r="Q468" s="8"/>
    </row>
    <row r="469" spans="17:17">
      <c r="Q469" s="8"/>
    </row>
    <row r="470" spans="17:17">
      <c r="Q470" s="8"/>
    </row>
    <row r="471" spans="17:17">
      <c r="Q471" s="8"/>
    </row>
    <row r="472" spans="17:17">
      <c r="Q472" s="8"/>
    </row>
    <row r="473" spans="17:17">
      <c r="Q473" s="8"/>
    </row>
    <row r="474" spans="17:17">
      <c r="Q474" s="8"/>
    </row>
    <row r="475" spans="17:17">
      <c r="Q475" s="8"/>
    </row>
    <row r="476" spans="17:17">
      <c r="Q476" s="8"/>
    </row>
    <row r="477" spans="17:17">
      <c r="Q477" s="8"/>
    </row>
    <row r="478" spans="17:17">
      <c r="Q478" s="8"/>
    </row>
    <row r="479" spans="17:17">
      <c r="Q479" s="8"/>
    </row>
    <row r="480" spans="17:17">
      <c r="Q480" s="8"/>
    </row>
    <row r="481" spans="17:17">
      <c r="Q481" s="8"/>
    </row>
    <row r="482" spans="17:17">
      <c r="Q482" s="8"/>
    </row>
    <row r="483" spans="17:17">
      <c r="Q483" s="8"/>
    </row>
    <row r="484" spans="17:17">
      <c r="Q484" s="8"/>
    </row>
    <row r="485" spans="17:17">
      <c r="Q485" s="8"/>
    </row>
    <row r="486" spans="17:17">
      <c r="Q486" s="8"/>
    </row>
    <row r="487" spans="17:17">
      <c r="Q487" s="8"/>
    </row>
    <row r="488" spans="17:17">
      <c r="Q488" s="8"/>
    </row>
    <row r="489" spans="17:17">
      <c r="Q489" s="8"/>
    </row>
    <row r="490" spans="17:17">
      <c r="Q490" s="8"/>
    </row>
    <row r="491" spans="17:17">
      <c r="Q491" s="8"/>
    </row>
    <row r="492" spans="17:17">
      <c r="Q492" s="8"/>
    </row>
    <row r="493" spans="17:17">
      <c r="Q493" s="8"/>
    </row>
    <row r="494" spans="17:17">
      <c r="Q494" s="8"/>
    </row>
    <row r="495" spans="17:17">
      <c r="Q495" s="8"/>
    </row>
    <row r="496" spans="17:17">
      <c r="Q496" s="8"/>
    </row>
    <row r="497" spans="17:17">
      <c r="Q497" s="8"/>
    </row>
    <row r="498" spans="17:17">
      <c r="Q498" s="8"/>
    </row>
    <row r="499" spans="17:17">
      <c r="Q499" s="8"/>
    </row>
    <row r="500" spans="17:17">
      <c r="Q500" s="8"/>
    </row>
    <row r="501" spans="17:17">
      <c r="Q501" s="8"/>
    </row>
    <row r="502" spans="17:17">
      <c r="Q502" s="8"/>
    </row>
    <row r="503" spans="17:17">
      <c r="Q503" s="8"/>
    </row>
    <row r="504" spans="17:17">
      <c r="Q504" s="8"/>
    </row>
    <row r="505" spans="17:17">
      <c r="Q505" s="8"/>
    </row>
    <row r="506" spans="17:17">
      <c r="Q506" s="8"/>
    </row>
    <row r="507" spans="17:17">
      <c r="Q507" s="8"/>
    </row>
    <row r="508" spans="17:17">
      <c r="Q508" s="8"/>
    </row>
    <row r="509" spans="17:17">
      <c r="Q509" s="8"/>
    </row>
    <row r="510" spans="17:17">
      <c r="Q510" s="8"/>
    </row>
    <row r="511" spans="17:17">
      <c r="Q511" s="8"/>
    </row>
    <row r="512" spans="17:17">
      <c r="Q512" s="8"/>
    </row>
    <row r="513" spans="17:17">
      <c r="Q513" s="8"/>
    </row>
    <row r="514" spans="17:17">
      <c r="Q514" s="8"/>
    </row>
    <row r="515" spans="17:17">
      <c r="Q515" s="8"/>
    </row>
    <row r="516" spans="17:17">
      <c r="Q516" s="8"/>
    </row>
    <row r="517" spans="17:17">
      <c r="Q517" s="8"/>
    </row>
    <row r="518" spans="17:17">
      <c r="Q518" s="8"/>
    </row>
    <row r="519" spans="17:17">
      <c r="Q519" s="8"/>
    </row>
    <row r="520" spans="17:17">
      <c r="Q520" s="8"/>
    </row>
    <row r="521" spans="17:17">
      <c r="Q521" s="8"/>
    </row>
    <row r="522" spans="17:17">
      <c r="Q522" s="8"/>
    </row>
    <row r="523" spans="17:17">
      <c r="Q523" s="8"/>
    </row>
  </sheetData>
  <sortState xmlns:xlrd2="http://schemas.microsoft.com/office/spreadsheetml/2017/richdata2" ref="AB157:AC288">
    <sortCondition ref="AB157:AB288"/>
  </sortState>
  <mergeCells count="6">
    <mergeCell ref="H7:J7"/>
    <mergeCell ref="K7:M7"/>
    <mergeCell ref="N7:P7"/>
    <mergeCell ref="H155:J155"/>
    <mergeCell ref="K155:M155"/>
    <mergeCell ref="N155:P155"/>
  </mergeCells>
  <conditionalFormatting sqref="H100:H104">
    <cfRule type="cellIs" dxfId="89" priority="194" operator="between">
      <formula>1</formula>
      <formula>10</formula>
    </cfRule>
    <cfRule type="cellIs" dxfId="88" priority="193" operator="between">
      <formula>10</formula>
      <formula>100</formula>
    </cfRule>
    <cfRule type="cellIs" dxfId="87" priority="192" operator="greaterThan">
      <formula>100</formula>
    </cfRule>
    <cfRule type="cellIs" dxfId="86" priority="191" operator="equal">
      <formula>0</formula>
    </cfRule>
    <cfRule type="cellIs" dxfId="85" priority="195" operator="lessThan">
      <formula>1</formula>
    </cfRule>
  </conditionalFormatting>
  <conditionalFormatting sqref="H271:H272">
    <cfRule type="cellIs" dxfId="84" priority="45" operator="lessThan">
      <formula>1</formula>
    </cfRule>
    <cfRule type="cellIs" dxfId="83" priority="44" operator="between">
      <formula>1</formula>
      <formula>10</formula>
    </cfRule>
    <cfRule type="cellIs" dxfId="82" priority="43" operator="between">
      <formula>10</formula>
      <formula>100</formula>
    </cfRule>
    <cfRule type="cellIs" dxfId="81" priority="42" operator="greaterThan">
      <formula>100</formula>
    </cfRule>
    <cfRule type="cellIs" dxfId="80" priority="41" operator="equal">
      <formula>0</formula>
    </cfRule>
  </conditionalFormatting>
  <conditionalFormatting sqref="H239:P241">
    <cfRule type="cellIs" dxfId="79" priority="120" operator="lessThan">
      <formula>1</formula>
    </cfRule>
    <cfRule type="cellIs" dxfId="78" priority="117" operator="greaterThan">
      <formula>100</formula>
    </cfRule>
    <cfRule type="cellIs" dxfId="77" priority="116" operator="equal">
      <formula>0</formula>
    </cfRule>
    <cfRule type="cellIs" dxfId="76" priority="118" operator="between">
      <formula>10</formula>
      <formula>100</formula>
    </cfRule>
    <cfRule type="cellIs" dxfId="75" priority="119" operator="between">
      <formula>1</formula>
      <formula>10</formula>
    </cfRule>
  </conditionalFormatting>
  <conditionalFormatting sqref="I90:J104 L90:M104">
    <cfRule type="cellIs" dxfId="74" priority="180" operator="lessThan">
      <formula>1</formula>
    </cfRule>
    <cfRule type="cellIs" dxfId="73" priority="178" operator="between">
      <formula>10</formula>
      <formula>100</formula>
    </cfRule>
    <cfRule type="cellIs" dxfId="72" priority="177" operator="greaterThan">
      <formula>100</formula>
    </cfRule>
    <cfRule type="cellIs" dxfId="71" priority="176" operator="equal">
      <formula>0</formula>
    </cfRule>
    <cfRule type="cellIs" dxfId="70" priority="179" operator="between">
      <formula>1</formula>
      <formula>10</formula>
    </cfRule>
  </conditionalFormatting>
  <conditionalFormatting sqref="I227:J230 L227:M230">
    <cfRule type="cellIs" dxfId="69" priority="148" operator="between">
      <formula>10</formula>
      <formula>100</formula>
    </cfRule>
    <cfRule type="cellIs" dxfId="68" priority="147" operator="greaterThan">
      <formula>100</formula>
    </cfRule>
    <cfRule type="cellIs" dxfId="67" priority="150" operator="lessThan">
      <formula>1</formula>
    </cfRule>
    <cfRule type="cellIs" dxfId="66" priority="149" operator="between">
      <formula>1</formula>
      <formula>10</formula>
    </cfRule>
    <cfRule type="cellIs" dxfId="65" priority="146" operator="equal">
      <formula>0</formula>
    </cfRule>
  </conditionalFormatting>
  <conditionalFormatting sqref="I233:J234 L233:M234">
    <cfRule type="cellIs" dxfId="64" priority="145" operator="lessThan">
      <formula>1</formula>
    </cfRule>
    <cfRule type="cellIs" dxfId="63" priority="144" operator="between">
      <formula>1</formula>
      <formula>10</formula>
    </cfRule>
    <cfRule type="cellIs" dxfId="62" priority="143" operator="between">
      <formula>10</formula>
      <formula>100</formula>
    </cfRule>
    <cfRule type="cellIs" dxfId="61" priority="141" operator="equal">
      <formula>0</formula>
    </cfRule>
    <cfRule type="cellIs" dxfId="60" priority="142" operator="greaterThan">
      <formula>100</formula>
    </cfRule>
  </conditionalFormatting>
  <conditionalFormatting sqref="I268:J272 L268:M272">
    <cfRule type="cellIs" dxfId="59" priority="36" operator="equal">
      <formula>0</formula>
    </cfRule>
    <cfRule type="cellIs" dxfId="58" priority="37" operator="greaterThan">
      <formula>100</formula>
    </cfRule>
    <cfRule type="cellIs" dxfId="57" priority="39" operator="between">
      <formula>1</formula>
      <formula>10</formula>
    </cfRule>
    <cfRule type="cellIs" dxfId="56" priority="40" operator="lessThan">
      <formula>1</formula>
    </cfRule>
    <cfRule type="cellIs" dxfId="55" priority="38" operator="between">
      <formula>10</formula>
      <formula>100</formula>
    </cfRule>
  </conditionalFormatting>
  <conditionalFormatting sqref="K100:K104">
    <cfRule type="cellIs" dxfId="54" priority="165" operator="lessThan">
      <formula>1</formula>
    </cfRule>
    <cfRule type="cellIs" dxfId="53" priority="164" operator="between">
      <formula>1</formula>
      <formula>10</formula>
    </cfRule>
    <cfRule type="cellIs" dxfId="52" priority="163" operator="between">
      <formula>10</formula>
      <formula>100</formula>
    </cfRule>
    <cfRule type="cellIs" dxfId="51" priority="161" operator="equal">
      <formula>0</formula>
    </cfRule>
    <cfRule type="cellIs" dxfId="50" priority="162" operator="greaterThan">
      <formula>100</formula>
    </cfRule>
  </conditionalFormatting>
  <conditionalFormatting sqref="K271:K272">
    <cfRule type="cellIs" dxfId="49" priority="28" operator="between">
      <formula>10</formula>
      <formula>100</formula>
    </cfRule>
    <cfRule type="cellIs" dxfId="48" priority="30" operator="lessThan">
      <formula>1</formula>
    </cfRule>
    <cfRule type="cellIs" dxfId="47" priority="29" operator="between">
      <formula>1</formula>
      <formula>10</formula>
    </cfRule>
    <cfRule type="cellIs" dxfId="46" priority="27" operator="greaterThan">
      <formula>100</formula>
    </cfRule>
    <cfRule type="cellIs" dxfId="45" priority="26" operator="equal">
      <formula>0</formula>
    </cfRule>
  </conditionalFormatting>
  <conditionalFormatting sqref="N100:N104">
    <cfRule type="cellIs" dxfId="44" priority="158" operator="between">
      <formula>10</formula>
      <formula>100</formula>
    </cfRule>
    <cfRule type="cellIs" dxfId="43" priority="156" operator="equal">
      <formula>0</formula>
    </cfRule>
    <cfRule type="cellIs" dxfId="42" priority="157" operator="greaterThan">
      <formula>100</formula>
    </cfRule>
    <cfRule type="cellIs" dxfId="41" priority="159" operator="between">
      <formula>1</formula>
      <formula>10</formula>
    </cfRule>
    <cfRule type="cellIs" dxfId="40" priority="160" operator="lessThan">
      <formula>1</formula>
    </cfRule>
  </conditionalFormatting>
  <conditionalFormatting sqref="N271:N272">
    <cfRule type="cellIs" dxfId="39" priority="25" operator="lessThan">
      <formula>1</formula>
    </cfRule>
    <cfRule type="cellIs" dxfId="38" priority="21" operator="equal">
      <formula>0</formula>
    </cfRule>
    <cfRule type="cellIs" dxfId="37" priority="23" operator="between">
      <formula>10</formula>
      <formula>100</formula>
    </cfRule>
    <cfRule type="cellIs" dxfId="36" priority="24" operator="between">
      <formula>1</formula>
      <formula>10</formula>
    </cfRule>
    <cfRule type="cellIs" dxfId="35" priority="22" operator="greaterThan">
      <formula>100</formula>
    </cfRule>
  </conditionalFormatting>
  <conditionalFormatting sqref="N112:P151">
    <cfRule type="cellIs" dxfId="34" priority="110" operator="lessThan">
      <formula>1</formula>
    </cfRule>
    <cfRule type="cellIs" dxfId="33" priority="109" operator="between">
      <formula>1</formula>
      <formula>10</formula>
    </cfRule>
    <cfRule type="cellIs" dxfId="32" priority="108" operator="between">
      <formula>10</formula>
      <formula>100</formula>
    </cfRule>
    <cfRule type="cellIs" dxfId="31" priority="107" operator="greaterThan">
      <formula>100</formula>
    </cfRule>
    <cfRule type="cellIs" dxfId="30" priority="106" operator="equal">
      <formula>0</formula>
    </cfRule>
  </conditionalFormatting>
  <conditionalFormatting sqref="N275:P288">
    <cfRule type="cellIs" dxfId="29" priority="15" operator="lessThan">
      <formula>1</formula>
    </cfRule>
    <cfRule type="cellIs" dxfId="28" priority="11" operator="equal">
      <formula>0</formula>
    </cfRule>
    <cfRule type="cellIs" dxfId="27" priority="12" operator="greaterThan">
      <formula>100</formula>
    </cfRule>
    <cfRule type="cellIs" dxfId="26" priority="13" operator="between">
      <formula>10</formula>
      <formula>100</formula>
    </cfRule>
    <cfRule type="cellIs" dxfId="25" priority="14" operator="between">
      <formula>1</formula>
      <formula>10</formula>
    </cfRule>
  </conditionalFormatting>
  <conditionalFormatting sqref="O90:P104">
    <cfRule type="cellIs" dxfId="24" priority="169" operator="between">
      <formula>1</formula>
      <formula>10</formula>
    </cfRule>
    <cfRule type="cellIs" dxfId="23" priority="166" operator="equal">
      <formula>0</formula>
    </cfRule>
    <cfRule type="cellIs" dxfId="22" priority="167" operator="greaterThan">
      <formula>100</formula>
    </cfRule>
    <cfRule type="cellIs" dxfId="21" priority="168" operator="between">
      <formula>10</formula>
      <formula>100</formula>
    </cfRule>
    <cfRule type="cellIs" dxfId="20" priority="170" operator="lessThan">
      <formula>1</formula>
    </cfRule>
  </conditionalFormatting>
  <conditionalFormatting sqref="O106:P110">
    <cfRule type="cellIs" dxfId="19" priority="111" operator="equal">
      <formula>0</formula>
    </cfRule>
    <cfRule type="cellIs" dxfId="18" priority="112" operator="greaterThan">
      <formula>100</formula>
    </cfRule>
    <cfRule type="cellIs" dxfId="17" priority="113" operator="between">
      <formula>10</formula>
      <formula>100</formula>
    </cfRule>
    <cfRule type="cellIs" dxfId="16" priority="114" operator="between">
      <formula>1</formula>
      <formula>10</formula>
    </cfRule>
    <cfRule type="cellIs" dxfId="15" priority="115" operator="lessThan">
      <formula>1</formula>
    </cfRule>
  </conditionalFormatting>
  <conditionalFormatting sqref="O227:P230 O233:P234">
    <cfRule type="cellIs" dxfId="14" priority="127" operator="greaterThan">
      <formula>100</formula>
    </cfRule>
    <cfRule type="cellIs" dxfId="13" priority="128" operator="between">
      <formula>10</formula>
      <formula>100</formula>
    </cfRule>
    <cfRule type="cellIs" dxfId="12" priority="129" operator="between">
      <formula>1</formula>
      <formula>10</formula>
    </cfRule>
    <cfRule type="cellIs" dxfId="11" priority="130" operator="lessThan">
      <formula>1</formula>
    </cfRule>
    <cfRule type="cellIs" dxfId="10" priority="126" operator="equal">
      <formula>0</formula>
    </cfRule>
  </conditionalFormatting>
  <conditionalFormatting sqref="O268:P272">
    <cfRule type="cellIs" dxfId="9" priority="31" operator="equal">
      <formula>0</formula>
    </cfRule>
    <cfRule type="cellIs" dxfId="8" priority="32" operator="greaterThan">
      <formula>100</formula>
    </cfRule>
    <cfRule type="cellIs" dxfId="7" priority="33" operator="between">
      <formula>10</formula>
      <formula>100</formula>
    </cfRule>
    <cfRule type="cellIs" dxfId="6" priority="34" operator="between">
      <formula>1</formula>
      <formula>10</formula>
    </cfRule>
    <cfRule type="cellIs" dxfId="5" priority="35" operator="lessThan">
      <formula>1</formula>
    </cfRule>
  </conditionalFormatting>
  <conditionalFormatting sqref="O274:P274">
    <cfRule type="cellIs" dxfId="4" priority="20" operator="lessThan">
      <formula>1</formula>
    </cfRule>
    <cfRule type="cellIs" dxfId="3" priority="19" operator="between">
      <formula>1</formula>
      <formula>10</formula>
    </cfRule>
    <cfRule type="cellIs" dxfId="2" priority="18" operator="between">
      <formula>10</formula>
      <formula>100</formula>
    </cfRule>
    <cfRule type="cellIs" dxfId="1" priority="17" operator="greaterThan">
      <formula>100</formula>
    </cfRule>
    <cfRule type="cellIs" dxfId="0" priority="16" operator="equal">
      <formula>0</formula>
    </cfRule>
  </conditionalFormatting>
  <hyperlinks>
    <hyperlink ref="D230" r:id="rId1" xr:uid="{00000000-0004-0000-0500-000000000000}"/>
    <hyperlink ref="D164" r:id="rId2" xr:uid="{00000000-0004-0000-0500-000001000000}"/>
    <hyperlink ref="D172" r:id="rId3" xr:uid="{00000000-0004-0000-0500-000002000000}"/>
    <hyperlink ref="D170" r:id="rId4" xr:uid="{00000000-0004-0000-0500-000003000000}"/>
    <hyperlink ref="D171" r:id="rId5" xr:uid="{00000000-0004-0000-0500-000004000000}"/>
    <hyperlink ref="D169" r:id="rId6" xr:uid="{00000000-0004-0000-0500-000005000000}"/>
    <hyperlink ref="D199" r:id="rId7" xr:uid="{00000000-0004-0000-0500-000006000000}"/>
    <hyperlink ref="D215" r:id="rId8" xr:uid="{00000000-0004-0000-0500-000007000000}"/>
    <hyperlink ref="D217" r:id="rId9" xr:uid="{00000000-0004-0000-0500-000008000000}"/>
    <hyperlink ref="D216" r:id="rId10" xr:uid="{00000000-0004-0000-0500-000009000000}"/>
    <hyperlink ref="D214" r:id="rId11" xr:uid="{00000000-0004-0000-0500-00000A000000}"/>
    <hyperlink ref="D227" r:id="rId12" xr:uid="{00000000-0004-0000-0500-00000B000000}"/>
    <hyperlink ref="D228" r:id="rId13" xr:uid="{00000000-0004-0000-0500-00000C000000}"/>
    <hyperlink ref="D226" r:id="rId14" xr:uid="{00000000-0004-0000-0500-00000D000000}"/>
    <hyperlink ref="D229" r:id="rId15" xr:uid="{00000000-0004-0000-0500-00000E000000}"/>
    <hyperlink ref="D47" r:id="rId16" xr:uid="{00000000-0004-0000-0500-00000F000000}"/>
    <hyperlink ref="D133" r:id="rId17" xr:uid="{00000000-0004-0000-0500-000010000000}"/>
    <hyperlink ref="D78:D104" r:id="rId18" display="https://www.kbob.admin.ch/kbob/de/home/publikationen/nachhaltiges-bauen/oekobilanzdaten_baubereich.html" xr:uid="{00000000-0004-0000-0500-000011000000}"/>
    <hyperlink ref="D20" r:id="rId19" xr:uid="{00000000-0004-0000-0500-000012000000}"/>
    <hyperlink ref="D260" r:id="rId20" xr:uid="{00000000-0004-0000-0500-000013000000}"/>
    <hyperlink ref="D215:D241" r:id="rId21" display="https://www.kbob.admin.ch/kbob/de/home/publikationen/nachhaltiges-bauen/oekobilanzdaten_baubereich.html" xr:uid="{00000000-0004-0000-0500-000014000000}"/>
    <hyperlink ref="D224" r:id="rId22" display="https://www.kbob.admin.ch/kbob/de/home/publikationen/nachhaltiges-bauen/oekobilanzdaten_baubereich.html" xr:uid="{00000000-0004-0000-0500-000015000000}"/>
    <hyperlink ref="D263:D267" r:id="rId23" display="https://www.kbob.admin.ch/kbob/de/home/publikationen/nachhaltiges-bauen/oekobilanzdaten_baubereich.html" xr:uid="{00000000-0004-0000-0500-000016000000}"/>
    <hyperlink ref="D268:D270" r:id="rId24" display="https://www.kbob.admin.ch/kbob/de/home/publikationen/nachhaltiges-bauen/oekobilanzdaten_baubereich.html" xr:uid="{00000000-0004-0000-0500-000017000000}"/>
    <hyperlink ref="D266" r:id="rId25" display="https://www.kbob.admin.ch/kbob/de/home/publikationen/nachhaltiges-bauen/oekobilanzdaten_baubereich.html" xr:uid="{00000000-0004-0000-0500-000018000000}"/>
    <hyperlink ref="D267" r:id="rId26" display="https://www.kbob.admin.ch/kbob/de/home/publikationen/nachhaltiges-bauen/oekobilanzdaten_baubereich.html" xr:uid="{00000000-0004-0000-0500-000019000000}"/>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D35"/>
  <sheetViews>
    <sheetView workbookViewId="0">
      <selection activeCell="B23" sqref="B23"/>
    </sheetView>
  </sheetViews>
  <sheetFormatPr baseColWidth="10" defaultRowHeight="15"/>
  <cols>
    <col min="1" max="1" width="9.4375" customWidth="1"/>
    <col min="2" max="2" width="82.3125" customWidth="1"/>
    <col min="3" max="3" width="8.5625" customWidth="1"/>
    <col min="4" max="4" width="9.25" customWidth="1"/>
  </cols>
  <sheetData>
    <row r="1" spans="1:4" ht="22.3">
      <c r="A1" s="11" t="s">
        <v>830</v>
      </c>
    </row>
    <row r="3" spans="1:4">
      <c r="A3" s="10" t="s">
        <v>831</v>
      </c>
      <c r="B3" s="10" t="s">
        <v>832</v>
      </c>
      <c r="C3" s="10" t="s">
        <v>833</v>
      </c>
      <c r="D3" s="10" t="s">
        <v>834</v>
      </c>
    </row>
    <row r="4" spans="1:4">
      <c r="A4" s="56" t="s">
        <v>838</v>
      </c>
      <c r="B4" s="5" t="s">
        <v>836</v>
      </c>
      <c r="C4" s="57">
        <v>43391</v>
      </c>
      <c r="D4" s="5" t="s">
        <v>837</v>
      </c>
    </row>
    <row r="5" spans="1:4">
      <c r="A5" s="56" t="s">
        <v>839</v>
      </c>
      <c r="B5" s="5" t="s">
        <v>840</v>
      </c>
      <c r="C5" s="57">
        <v>43436</v>
      </c>
      <c r="D5" s="5" t="s">
        <v>837</v>
      </c>
    </row>
    <row r="6" spans="1:4">
      <c r="A6" s="56" t="s">
        <v>841</v>
      </c>
      <c r="B6" s="5" t="s">
        <v>842</v>
      </c>
      <c r="C6" s="57">
        <v>43798</v>
      </c>
      <c r="D6" s="5" t="s">
        <v>837</v>
      </c>
    </row>
    <row r="7" spans="1:4">
      <c r="A7" s="56" t="s">
        <v>1888</v>
      </c>
      <c r="B7" s="5" t="s">
        <v>843</v>
      </c>
      <c r="C7" s="57">
        <v>43833</v>
      </c>
      <c r="D7" s="5" t="s">
        <v>837</v>
      </c>
    </row>
    <row r="8" spans="1:4">
      <c r="A8" s="56" t="s">
        <v>835</v>
      </c>
      <c r="B8" s="5" t="s">
        <v>1889</v>
      </c>
      <c r="C8" s="57">
        <v>43854</v>
      </c>
      <c r="D8" s="5" t="s">
        <v>837</v>
      </c>
    </row>
    <row r="9" spans="1:4">
      <c r="A9" s="56" t="s">
        <v>2340</v>
      </c>
      <c r="B9" s="5" t="s">
        <v>2341</v>
      </c>
      <c r="C9" s="57">
        <v>44246</v>
      </c>
      <c r="D9" s="5" t="s">
        <v>837</v>
      </c>
    </row>
    <row r="10" spans="1:4">
      <c r="A10" s="5"/>
      <c r="B10" s="5"/>
      <c r="C10" s="5"/>
      <c r="D10" s="5"/>
    </row>
    <row r="11" spans="1:4">
      <c r="A11" s="5"/>
      <c r="B11" s="5"/>
      <c r="C11" s="5"/>
      <c r="D11" s="5"/>
    </row>
    <row r="12" spans="1:4">
      <c r="A12" s="5"/>
      <c r="B12" s="5"/>
      <c r="C12" s="5"/>
      <c r="D12" s="5"/>
    </row>
    <row r="13" spans="1:4">
      <c r="A13" s="5"/>
      <c r="B13" s="5"/>
      <c r="C13" s="5"/>
      <c r="D13" s="5"/>
    </row>
    <row r="14" spans="1:4">
      <c r="A14" s="5"/>
      <c r="B14" s="5"/>
      <c r="C14" s="5"/>
      <c r="D14" s="5"/>
    </row>
    <row r="15" spans="1:4">
      <c r="A15" s="5"/>
      <c r="B15" s="5"/>
      <c r="C15" s="5"/>
      <c r="D15" s="5"/>
    </row>
    <row r="16" spans="1:4">
      <c r="A16" s="5"/>
      <c r="B16" s="5"/>
      <c r="C16" s="5"/>
      <c r="D16" s="5"/>
    </row>
    <row r="17" spans="1:4">
      <c r="A17" s="5"/>
      <c r="B17" s="5"/>
      <c r="C17" s="5"/>
      <c r="D17" s="5"/>
    </row>
    <row r="18" spans="1:4">
      <c r="A18" s="5"/>
      <c r="B18" s="5"/>
      <c r="C18" s="5"/>
      <c r="D18" s="5"/>
    </row>
    <row r="19" spans="1:4">
      <c r="A19" s="5"/>
      <c r="B19" s="5"/>
      <c r="C19" s="5"/>
      <c r="D19" s="5"/>
    </row>
    <row r="20" spans="1:4">
      <c r="A20" s="5"/>
      <c r="B20" s="5"/>
      <c r="C20" s="5"/>
      <c r="D20" s="5"/>
    </row>
    <row r="21" spans="1:4">
      <c r="A21" s="5"/>
      <c r="B21" s="5"/>
      <c r="C21" s="5"/>
      <c r="D21" s="5"/>
    </row>
    <row r="22" spans="1:4">
      <c r="A22" s="5"/>
      <c r="B22" s="5"/>
      <c r="C22" s="5"/>
      <c r="D22" s="5"/>
    </row>
    <row r="23" spans="1:4">
      <c r="A23" s="5"/>
      <c r="B23" s="5"/>
      <c r="C23" s="5"/>
      <c r="D23" s="5"/>
    </row>
    <row r="24" spans="1:4">
      <c r="A24" s="5"/>
      <c r="B24" s="5"/>
      <c r="C24" s="5"/>
      <c r="D24" s="5"/>
    </row>
    <row r="25" spans="1:4">
      <c r="A25" s="5"/>
      <c r="B25" s="5"/>
      <c r="C25" s="5"/>
      <c r="D25" s="5"/>
    </row>
    <row r="26" spans="1:4">
      <c r="A26" s="5"/>
      <c r="B26" s="5"/>
      <c r="C26" s="5"/>
      <c r="D26" s="5"/>
    </row>
    <row r="27" spans="1:4">
      <c r="A27" s="5"/>
      <c r="B27" s="5"/>
      <c r="C27" s="5"/>
      <c r="D27" s="5"/>
    </row>
    <row r="28" spans="1:4">
      <c r="A28" s="58"/>
      <c r="B28" s="58"/>
      <c r="C28" s="58"/>
      <c r="D28" s="58"/>
    </row>
    <row r="29" spans="1:4">
      <c r="A29" s="59" t="str">
        <f>INDEX($A$4:$A$28,SUMPRODUCT(MAX(($A$4:$A$28&lt;&gt;"")*ROW($A$4:$A$28)))-3,1)</f>
        <v>2.02</v>
      </c>
      <c r="B29" s="10"/>
      <c r="C29" s="70">
        <f>INDEX($C$4:$C$28,SUMPRODUCT(MAX(($C$4:$C$28&lt;&gt;"")*ROW($C$4:$C$28)))-3,1)</f>
        <v>44246</v>
      </c>
      <c r="D29" s="10"/>
    </row>
    <row r="33" spans="2:2">
      <c r="B33" s="68"/>
    </row>
    <row r="35" spans="2:2">
      <c r="B35" s="68"/>
    </row>
  </sheetData>
  <sheetProtection algorithmName="SHA-512" hashValue="S6yz7B7ZRvlDBkWAEmceUZU8V/DGfruAoVg9ubYQkMBZiuoEymB8OILh2h0kBsqkLeSk5dIdvR2mduE2+ujC1g==" saltValue="P5riZYi0VcJ7nyyR1zj4tQ==" spinCount="100000" sheet="1"/>
  <dataValidations count="1">
    <dataValidation type="custom" showInputMessage="1" showErrorMessage="1" errorTitle="Fehler" error="gg" sqref="B33" xr:uid="{00000000-0002-0000-0600-000000000000}">
      <formula1>$B$33&lt;&gt;0</formula1>
    </dataValidation>
  </dataValidations>
  <pageMargins left="0.7" right="0.7" top="0.78740157499999996" bottom="0.78740157499999996"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4" ma:contentTypeDescription="Create a new document." ma:contentTypeScope="" ma:versionID="9d07c6dbc0196e2e7b761fdacc709c74">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8818bfa48a71c6817b45c78c14871a4e"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SKCW24DMUQ4M-227545371-582510</_dlc_DocId>
    <_dlc_DocIdUrl xmlns="19415a2c-3045-4769-8042-b2d573daa356">
      <Url>https://mst239701.sharepoint.com/sites/Files/_layouts/15/DocIdRedir.aspx?ID=SKCW24DMUQ4M-227545371-582510</Url>
      <Description>SKCW24DMUQ4M-227545371-582510</Description>
    </_dlc_DocIdUrl>
    <lcf76f155ced4ddcb4097134ff3c332f xmlns="f9ded8a6-640d-4e2b-81aa-3f415abfbf2d">
      <Terms xmlns="http://schemas.microsoft.com/office/infopath/2007/PartnerControls"/>
    </lcf76f155ced4ddcb4097134ff3c332f>
    <TaxCatchAll xmlns="19415a2c-3045-4769-8042-b2d573daa356" xsi:nil="true"/>
  </documentManagement>
</p:properties>
</file>

<file path=customXml/itemProps1.xml><?xml version="1.0" encoding="utf-8"?>
<ds:datastoreItem xmlns:ds="http://schemas.openxmlformats.org/officeDocument/2006/customXml" ds:itemID="{31C215D9-3898-4F5B-96EA-19E790984A59}"/>
</file>

<file path=customXml/itemProps2.xml><?xml version="1.0" encoding="utf-8"?>
<ds:datastoreItem xmlns:ds="http://schemas.openxmlformats.org/officeDocument/2006/customXml" ds:itemID="{3A9C867E-4C51-4C6C-A84D-0CFCB934116C}"/>
</file>

<file path=customXml/itemProps3.xml><?xml version="1.0" encoding="utf-8"?>
<ds:datastoreItem xmlns:ds="http://schemas.openxmlformats.org/officeDocument/2006/customXml" ds:itemID="{4BEF6B95-F57B-477B-904B-1912E456D412}"/>
</file>

<file path=customXml/itemProps4.xml><?xml version="1.0" encoding="utf-8"?>
<ds:datastoreItem xmlns:ds="http://schemas.openxmlformats.org/officeDocument/2006/customXml" ds:itemID="{9774840A-28D2-4A53-8932-42B2E1F5FA9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108</vt:i4>
      </vt:variant>
    </vt:vector>
  </HeadingPairs>
  <TitlesOfParts>
    <vt:vector size="113" baseType="lpstr">
      <vt:lpstr>FR Questionnaire rénovation</vt:lpstr>
      <vt:lpstr>Konstanten</vt:lpstr>
      <vt:lpstr>Texte</vt:lpstr>
      <vt:lpstr>Bauteile</vt:lpstr>
      <vt:lpstr>Versionierung</vt:lpstr>
      <vt:lpstr>Antwort_simp</vt:lpstr>
      <vt:lpstr>BauteileNew</vt:lpstr>
      <vt:lpstr>BauteileRen</vt:lpstr>
      <vt:lpstr>Befriedigend</vt:lpstr>
      <vt:lpstr>BKPshort</vt:lpstr>
      <vt:lpstr>CmpltElements</vt:lpstr>
      <vt:lpstr>CmpltTech</vt:lpstr>
      <vt:lpstr>CmpltTextElements</vt:lpstr>
      <vt:lpstr>CmpltTextTech</vt:lpstr>
      <vt:lpstr>'FR Questionnaire rénovation'!Druckbereich</vt:lpstr>
      <vt:lpstr>Versionierung!Druckbereich</vt:lpstr>
      <vt:lpstr>ECO</vt:lpstr>
      <vt:lpstr>EffiPfad</vt:lpstr>
      <vt:lpstr>ErrText</vt:lpstr>
      <vt:lpstr>FaktorMEP</vt:lpstr>
      <vt:lpstr>FaktorMEP_WE</vt:lpstr>
      <vt:lpstr>FaktorPE_TH_ECO_M</vt:lpstr>
      <vt:lpstr>FaktorPE_TH_ECO_N</vt:lpstr>
      <vt:lpstr>FaktorPE_TH_SNBS</vt:lpstr>
      <vt:lpstr>FaktorSondenME</vt:lpstr>
      <vt:lpstr>Fehler</vt:lpstr>
      <vt:lpstr>Gut</vt:lpstr>
      <vt:lpstr>GWPE1unbeh</vt:lpstr>
      <vt:lpstr>GWPE2unbeh</vt:lpstr>
      <vt:lpstr>GWPEerdsonde1</vt:lpstr>
      <vt:lpstr>GWPEerdsonde2</vt:lpstr>
      <vt:lpstr>GWPEpv</vt:lpstr>
      <vt:lpstr>GWPEthermie</vt:lpstr>
      <vt:lpstr>GWTH1unbeh</vt:lpstr>
      <vt:lpstr>GWTH2unbeh</vt:lpstr>
      <vt:lpstr>GWTHerdsonde1</vt:lpstr>
      <vt:lpstr>GWTHerdsonde2</vt:lpstr>
      <vt:lpstr>GWTHpv</vt:lpstr>
      <vt:lpstr>GWTHthermie</vt:lpstr>
      <vt:lpstr>Ja</vt:lpstr>
      <vt:lpstr>JaNein</vt:lpstr>
      <vt:lpstr>LCAdata_New</vt:lpstr>
      <vt:lpstr>LCAdata_Ren</vt:lpstr>
      <vt:lpstr>ListBauteileNew</vt:lpstr>
      <vt:lpstr>ListBauteileRen</vt:lpstr>
      <vt:lpstr>ListBKP</vt:lpstr>
      <vt:lpstr>ListCert</vt:lpstr>
      <vt:lpstr>ListEcoKat</vt:lpstr>
      <vt:lpstr>ListEffiPfadKat</vt:lpstr>
      <vt:lpstr>ListEnStandard</vt:lpstr>
      <vt:lpstr>ListGebaeudekat</vt:lpstr>
      <vt:lpstr>ListIWtyp</vt:lpstr>
      <vt:lpstr>ListProjekttyp</vt:lpstr>
      <vt:lpstr>ListSNBSkat</vt:lpstr>
      <vt:lpstr>ListSprache</vt:lpstr>
      <vt:lpstr>MatrixBeleuchtung</vt:lpstr>
      <vt:lpstr>MatrixTexteT1</vt:lpstr>
      <vt:lpstr>MatrixTexteT2</vt:lpstr>
      <vt:lpstr>MatrixTexteT4</vt:lpstr>
      <vt:lpstr>ME</vt:lpstr>
      <vt:lpstr>MEP</vt:lpstr>
      <vt:lpstr>MEP_New</vt:lpstr>
      <vt:lpstr>MEP_Ren</vt:lpstr>
      <vt:lpstr>MxBauteilgruppe</vt:lpstr>
      <vt:lpstr>MxCert</vt:lpstr>
      <vt:lpstr>MxEcoGWPE_M</vt:lpstr>
      <vt:lpstr>MxEcoGWPE_N</vt:lpstr>
      <vt:lpstr>MxEcoGWTH_M</vt:lpstr>
      <vt:lpstr>MxEcoGWTH_N</vt:lpstr>
      <vt:lpstr>MxEffiPfad_GWPE</vt:lpstr>
      <vt:lpstr>MxEffiPfad_GWTH</vt:lpstr>
      <vt:lpstr>MxIWausmass</vt:lpstr>
      <vt:lpstr>N_BKP_B</vt:lpstr>
      <vt:lpstr>N_BKP_C1</vt:lpstr>
      <vt:lpstr>N_BKP_C211</vt:lpstr>
      <vt:lpstr>N_BKP_C212</vt:lpstr>
      <vt:lpstr>N_BKP_C22</vt:lpstr>
      <vt:lpstr>N_BKP_C41</vt:lpstr>
      <vt:lpstr>N_BKP_C43</vt:lpstr>
      <vt:lpstr>N_BKP_C44</vt:lpstr>
      <vt:lpstr>N_BKP_D</vt:lpstr>
      <vt:lpstr>N_BKP_E3</vt:lpstr>
      <vt:lpstr>N_BKP_G</vt:lpstr>
      <vt:lpstr>Nein</vt:lpstr>
      <vt:lpstr>NewConstruction</vt:lpstr>
      <vt:lpstr>NoStandard</vt:lpstr>
      <vt:lpstr>OK</vt:lpstr>
      <vt:lpstr>Password</vt:lpstr>
      <vt:lpstr>QuestComplete</vt:lpstr>
      <vt:lpstr>R_BKP_B</vt:lpstr>
      <vt:lpstr>R_BKP_C1</vt:lpstr>
      <vt:lpstr>R_BKP_C211</vt:lpstr>
      <vt:lpstr>R_BKP_C212</vt:lpstr>
      <vt:lpstr>R_BKP_C22</vt:lpstr>
      <vt:lpstr>R_BKP_C41</vt:lpstr>
      <vt:lpstr>R_BKP_C43</vt:lpstr>
      <vt:lpstr>R_BKP_C44</vt:lpstr>
      <vt:lpstr>R_BKP_D</vt:lpstr>
      <vt:lpstr>R_BKP_E3</vt:lpstr>
      <vt:lpstr>R_BKP_G</vt:lpstr>
      <vt:lpstr>Renovation</vt:lpstr>
      <vt:lpstr>ResQuest</vt:lpstr>
      <vt:lpstr>SheetBuildgData</vt:lpstr>
      <vt:lpstr>SheetOverview</vt:lpstr>
      <vt:lpstr>SheetQuestionaire</vt:lpstr>
      <vt:lpstr>SNBS</vt:lpstr>
      <vt:lpstr>SNBS_GWPE</vt:lpstr>
      <vt:lpstr>SNBS_GWTH</vt:lpstr>
      <vt:lpstr>SNBS_Note</vt:lpstr>
      <vt:lpstr>SNBSnoten</vt:lpstr>
      <vt:lpstr>Sprachwahl</vt:lpstr>
      <vt:lpstr>TableNames</vt:lpstr>
      <vt:lpstr>Version</vt:lpstr>
    </vt:vector>
  </TitlesOfParts>
  <Company>eTeam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Gasser</dc:creator>
  <cp:lastModifiedBy>Basil Monkewitz</cp:lastModifiedBy>
  <cp:lastPrinted>2023-10-25T15:31:43Z</cp:lastPrinted>
  <dcterms:created xsi:type="dcterms:W3CDTF">1999-01-20T17:37:13Z</dcterms:created>
  <dcterms:modified xsi:type="dcterms:W3CDTF">2023-10-25T15:32:41Z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0x010100B21CFC628C8AF54D8914200001F2C70D</vt:lpwstr>
  </property>
  <property fmtid="{D5CDD505-2E9C-101B-9397-08002B2CF9AE}" pid="4" name="_dlc_DocIdItemGuid">
    <vt:lpwstr>d3a93a93-b993-4350-a6f1-5fcdd45a78c3</vt:lpwstr>
  </property>
</Properties>
</file>