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1_Gültig/"/>
    </mc:Choice>
  </mc:AlternateContent>
  <xr:revisionPtr revIDLastSave="73" documentId="8_{4DCDB29A-2710-49F1-A79D-5F2BE1B3107E}" xr6:coauthVersionLast="47" xr6:coauthVersionMax="47" xr10:uidLastSave="{8F8177A8-C45C-4CC6-B8DE-C6E8C7138A0E}"/>
  <workbookProtection workbookAlgorithmName="SHA-512" workbookHashValue="9B+JIKe5JdNOpAKNYNT0XEKcmBmmWM7BaQNFqF0JX18ZiDaAFUOKWstclc808Egb/h1eZrMHgaDDyu2WH1rYsw==" workbookSaltValue="vhNdP1K8PkNK43rLYqoLzg==" workbookSpinCount="100000" lockStructure="1"/>
  <bookViews>
    <workbookView xWindow="28680" yWindow="-120" windowWidth="29040" windowHeight="15840" xr2:uid="{9F7C1D0B-8BF0-4810-B46E-315A2BB8E631}"/>
  </bookViews>
  <sheets>
    <sheet name="Anleitung" sheetId="5" r:id="rId1"/>
    <sheet name="Eingabe" sheetId="1" r:id="rId2"/>
    <sheet name="Uebersicht" sheetId="3" r:id="rId3"/>
    <sheet name="Listen" sheetId="2" state="hidden" r:id="rId4"/>
    <sheet name="Aenderungsjournal" sheetId="6" state="hidden" r:id="rId5"/>
    <sheet name="Uebersetzung" sheetId="4" state="hidden" r:id="rId6"/>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E4" i="2"/>
  <c r="E5" i="2"/>
  <c r="E6" i="2"/>
  <c r="E7" i="2"/>
  <c r="E8" i="2"/>
  <c r="E9" i="2"/>
  <c r="E10" i="2"/>
  <c r="E11" i="2"/>
  <c r="E12" i="2"/>
  <c r="E13" i="2"/>
  <c r="E2" i="2"/>
  <c r="E13" i="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2" i="3" s="1"/>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<sst xmlns="http://schemas.openxmlformats.org/spreadsheetml/2006/main" count="737" uniqueCount="604">
  <si>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</si>
  <si>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</si>
  <si>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</si>
  <si>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</si>
  <si>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</si>
  <si>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</si>
  <si>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</si>
  <si>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</si>
  <si>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</si>
  <si>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</si>
  <si>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</si>
  <si>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</si>
  <si>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</si>
  <si>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</si>
  <si>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</si>
  <si>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</si>
  <si>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</si>
  <si>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</si>
  <si>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</si>
  <si>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</si>
  <si>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</si>
  <si>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</si>
  <si>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</si>
  <si>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</si>
  <si>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</si>
  <si>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</si>
  <si>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</si>
  <si>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</si>
  <si>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</si>
  <si>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</si>
  <si>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</si>
  <si>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</si>
  <si>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</si>
  <si>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</si>
  <si>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</si>
  <si>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</si>
  <si>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</si>
  <si>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</si>
  <si>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</si>
  <si>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</si>
  <si>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</si>
  <si>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</si>
  <si>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</si>
  <si>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</si>
  <si>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</si>
  <si>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</si>
  <si>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</si>
  <si>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</si>
  <si>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</si>
  <si>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</si>
  <si>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</si>
  <si>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</si>
  <si>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</si>
  <si>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</si>
  <si>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</si>
  <si>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</si>
  <si>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</si>
  <si>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</si>
  <si>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</si>
  <si>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</si>
  <si>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</si>
  <si>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</si>
  <si>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</si>
  <si>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</si>
  <si>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</si>
  <si>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</si>
  <si>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</si>
  <si>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</si>
  <si>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</si>
  <si>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</si>
  <si>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</si>
  <si>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</si>
  <si>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</si>
  <si>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</si>
  <si>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</si>
  <si>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</si>
  <si>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</si>
  <si>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</si>
  <si>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</si>
  <si>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</si>
  <si>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</si>
  <si>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</si>
  <si>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</si>
  <si>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</si>
  <si>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</si>
  <si>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</si>
  <si>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</si>
  <si>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</si>
  <si>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</si>
  <si>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</si>
  <si>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</si>
  <si>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</si>
  <si>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</si>
  <si>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</si>
  <si>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</si>
  <si>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</si>
  <si>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</si>
  <si>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</si>
  <si>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</si>
  <si>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</si>
  <si>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</si>
  <si>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</si>
  <si>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</si>
  <si>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</si>
  <si>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</si>
  <si>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</si>
  <si>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</si>
  <si>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</si>
  <si>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</si>
  <si>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</si>
  <si>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</si>
  <si>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</si>
  <si>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</si>
  <si>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</si>
  <si>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</si>
  <si>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</si>
  <si>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</si>
  <si>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</si>
  <si>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</si>
  <si>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</si>
  <si>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</si>
  <si>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</si>
  <si>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</si>
  <si>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</si>
  <si>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</si>
  <si>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</si>
  <si>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</si>
  <si>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</si>
  <si>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</si>
  <si>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</si>
  <si>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</si>
  <si>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</si>
  <si>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</si>
  <si>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</si>
  <si>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</si>
  <si>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</si>
  <si>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</si>
  <si>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</si>
  <si>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</si>
  <si>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</si>
  <si>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</si>
  <si>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</si>
  <si>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</si>
  <si>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</si>
  <si>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</si>
  <si>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</si>
  <si>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</si>
  <si>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</si>
  <si>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</si>
  <si>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</si>
  <si>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</si>
  <si>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</si>
  <si>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</si>
  <si>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</si>
  <si>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</si>
  <si>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</si>
  <si>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</si>
  <si>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</si>
  <si>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</si>
  <si>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</si>
  <si>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</si>
  <si>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</si>
  <si>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</si>
  <si>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</si>
  <si>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</si>
  <si>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</si>
  <si>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</si>
  <si>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</si>
  <si>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</si>
  <si>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</si>
  <si>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</si>
  <si>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</si>
  <si>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</si>
  <si>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</si>
  <si>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</si>
  <si>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</si>
  <si>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</si>
  <si>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</si>
  <si>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</si>
  <si>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</si>
  <si>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</si>
  <si>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</si>
  <si>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</si>
  <si>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</si>
  <si>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</si>
  <si>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</si>
  <si>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</si>
  <si>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</si>
  <si>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</si>
  <si>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</si>
  <si>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</si>
  <si>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</si>
  <si>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</si>
  <si>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</si>
  <si>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</si>
  <si>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</si>
  <si>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</si>
  <si>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</si>
  <si>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</si>
  <si>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</si>
  <si>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</si>
  <si>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</si>
  <si>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</si>
  <si>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</si>
  <si>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</si>
  <si>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</si>
  <si>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</si>
  <si>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</si>
  <si>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</si>
  <si>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</si>
  <si>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</si>
  <si>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</si>
  <si>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</si>
  <si>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</si>
  <si>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</si>
  <si>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</si>
  <si>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</si>
  <si>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</si>
  <si>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</si>
  <si>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</si>
  <si>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</si>
  <si>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</si>
  <si>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</si>
  <si>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</si>
  <si>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</si>
  <si>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</si>
  <si>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</si>
  <si>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</si>
  <si>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</si>
  <si>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</si>
  <si>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</si>
  <si>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</si>
  <si>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</si>
  <si>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</si>
  <si>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</si>
  <si>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</si>
  <si>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</si>
  <si>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</si>
  <si>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</si>
  <si>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</si>
  <si>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</si>
  <si>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</si>
  <si>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</si>
  <si>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</si>
  <si>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</si>
  <si>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</si>
  <si>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</si>
  <si>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</si>
  <si>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</si>
  <si>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</si>
  <si>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</si>
  <si>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</si>
  <si>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</si>
  <si>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</si>
  <si>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</si>
  <si>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</si>
  <si>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</si>
  <si>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</si>
  <si>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</si>
  <si>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</si>
  <si>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</si>
  <si>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</si>
  <si>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</si>
  <si>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</si>
  <si>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</si>
  <si>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</si>
  <si>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</si>
  <si>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</si>
  <si>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</si>
  <si>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</si>
  <si>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</si>
  <si>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</si>
  <si>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</si>
  <si>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</si>
  <si>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</si>
  <si>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</si>
  <si>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</si>
  <si>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</si>
  <si>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</si>
  <si>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</si>
  <si>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</si>
  <si>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</si>
  <si>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</si>
  <si>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</si>
  <si>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</si>
  <si>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</si>
  <si>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</si>
  <si>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</si>
  <si>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</si>
  <si>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</si>
  <si>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</si>
  <si>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</si>
  <si>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</si>
  <si>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</si>
  <si>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</si>
  <si>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</si>
  <si>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</si>
  <si>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</si>
  <si>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</si>
  <si>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</si>
  <si>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</si>
  <si>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</si>
  <si>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</si>
  <si>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</si>
  <si>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</si>
  <si>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</si>
  <si>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</si>
  <si>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</si>
  <si>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</si>
  <si>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</si>
  <si>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</si>
  <si>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</si>
  <si>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</si>
  <si>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</si>
  <si>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</si>
  <si>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</si>
  <si>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</si>
  <si>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</si>
  <si>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</si>
  <si>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</si>
  <si>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</si>
  <si>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</si>
  <si>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</si>
  <si>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</si>
  <si>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</si>
  <si>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</si>
  <si>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</si>
  <si>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</si>
  <si>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</si>
  <si>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</si>
  <si>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</si>
  <si>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</si>
  <si>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</si>
  <si>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</si>
  <si>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</si>
  <si>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</si>
  <si>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</si>
  <si>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</si>
  <si>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</si>
  <si>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</si>
  <si>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</si>
  <si>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</si>
  <si>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</si>
  <si>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</si>
  <si>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</si>
  <si>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</si>
  <si>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</si>
  <si>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</si>
  <si>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</si>
  <si>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</si>
  <si>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</si>
  <si>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</si>
  <si>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</si>
  <si>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</si>
  <si>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</si>
  <si>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</si>
  <si>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</si>
  <si>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</si>
  <si>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</si>
  <si>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</si>
  <si>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</si>
  <si>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</si>
  <si>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</si>
  <si>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</si>
  <si>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</si>
  <si>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</si>
  <si>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</si>
  <si>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</si>
  <si>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</si>
  <si>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</si>
  <si>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</si>
  <si>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</si>
  <si>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</si>
  <si>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</si>
  <si>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</si>
  <si>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</si>
  <si>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</si>
  <si>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</si>
  <si>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</si>
  <si>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</si>
  <si>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</si>
  <si>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</si>
  <si>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</si>
  <si>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</si>
  <si>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</si>
  <si>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</si>
  <si>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</si>
  <si>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</si>
  <si>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</si>
  <si>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</si>
  <si>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</si>
  <si>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</si>
  <si>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</si>
  <si>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</si>
  <si>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</si>
  <si>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</si>
  <si>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</si>
  <si>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</si>
  <si>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</si>
  <si>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</si>
  <si>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</si>
  <si>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</si>
  <si>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</si>
  <si>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</si>
  <si>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</si>
  <si>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</si>
  <si>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</si>
  <si>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</si>
  <si>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</si>
  <si>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</si>
  <si>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</si>
  <si>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</si>
  <si>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</si>
  <si>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</si>
  <si>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</si>
  <si>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</si>
  <si>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</si>
  <si>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</si>
  <si>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</si>
  <si>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</si>
  <si>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</si>
  <si>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</si>
  <si>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</si>
  <si>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</si>
  <si>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</si>
  <si>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</si>
  <si>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</si>
  <si>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</si>
  <si>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</si>
  <si>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</si>
  <si>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</si>
  <si>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</si>
  <si>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</si>
  <si>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</si>
  <si>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</si>
  <si>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</si>
  <si>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</si>
  <si>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</si>
  <si>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</si>
  <si>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</si>
  <si>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</si>
  <si>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</si>
  <si>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</si>
  <si>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</si>
  <si>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</si>
  <si>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</si>
  <si>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</si>
  <si>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</si>
  <si>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</si>
  <si>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</si>
  <si>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</si>
  <si>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</si>
  <si>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</si>
  <si>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</si>
  <si>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</si>
  <si>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</si>
  <si>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</si>
  <si>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</si>
  <si>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</si>
  <si>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</si>
  <si>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</si>
  <si>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</si>
  <si>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</si>
  <si>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</si>
  <si>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</si>
  <si>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</si>
  <si>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</si>
  <si>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</si>
  <si>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</si>
  <si>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</si>
  <si>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</si>
  <si>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</si>
  <si>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</si>
  <si>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</si>
  <si>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</si>
  <si>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</si>
  <si>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</si>
  <si>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</si>
  <si>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</si>
  <si>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</si>
  <si>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</si>
  <si>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</si>
  <si>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</si>
  <si>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</si>
  <si>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</si>
  <si>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</si>
  <si>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</si>
  <si>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</si>
  <si>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</si>
  <si>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</si>
  <si>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</si>
  <si>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</si>
  <si>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</si>
  <si>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</si>
  <si>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</si>
  <si>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</si>
  <si>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</si>
  <si>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</si>
  <si>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</si>
  <si>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</si>
  <si>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</si>
  <si>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</si>
  <si>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</si>
  <si>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</si>
  <si>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</si>
  <si>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</si>
  <si>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</si>
  <si>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</si>
  <si>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</si>
  <si>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</si>
  <si>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</si>
  <si>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</si>
  <si>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</si>
  <si>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</si>
  <si>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</si>
  <si>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</si>
  <si>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</si>
  <si>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</si>
  <si>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</si>
  <si>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</si>
  <si>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</si>
  <si>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</si>
  <si>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</si>
  <si>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</si>
  <si>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</si>
  <si>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</si>
  <si>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</si>
  <si>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</si>
  <si>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</si>
  <si>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</si>
  <si>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</si>
  <si>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</si>
  <si>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</si>
  <si>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</si>
  <si>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</si>
  <si>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</si>
  <si>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</si>
  <si>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</si>
  <si>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</si>
  <si>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</si>
  <si>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</si>
  <si>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</si>
  <si>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</si>
  <si>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</si>
  <si>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</si>
  <si>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</si>
  <si>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</si>
  <si>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</si>
  <si>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</si>
  <si>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</si>
  <si>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</si>
  <si>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</si>
  <si>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</si>
  <si>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</si>
  <si>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</si>
  <si>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</si>
  <si>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</si>
  <si>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</si>
  <si>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</si>
  <si>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</si>
  <si>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</si>
  <si>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</si>
  <si>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</si>
  <si>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</si>
  <si>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</si>
  <si>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</si>
  <si>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</si>
  <si>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</si>
  <si>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</si>
  <si>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</si>
  <si>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</si>
  <si>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</si>
  <si>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</si>
  <si>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</si>
  <si>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</si>
  <si>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</si>
  <si>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</si>
  <si>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</si>
  <si>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</si>
  <si>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</si>
  <si>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</si>
  <si>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</si>
  <si>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</si>
  <si>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</si>
  <si>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</si>
  <si>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</si>
  <si>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</si>
  <si>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</si>
  <si>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</si>
  <si>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</si>
  <si>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</si>
  <si>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</si>
  <si>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</si>
  <si>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</si>
  <si>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</si>
  <si>
    <t>Änderungsjournal</t>
  </si>
  <si>
    <t>Änderungen</t>
  </si>
  <si>
    <t>Tabellenblatt</t>
  </si>
  <si>
    <t>Zelle</t>
  </si>
  <si>
    <t>Listen</t>
  </si>
  <si>
    <t>B82</t>
  </si>
  <si>
    <t>PV-Ertrag von 0.185 auf 0.2 kW/m2 angepasst (entsprechend Reglement Gebäudestandard Minergie, Version 2025.1)</t>
  </si>
  <si>
    <t>E2:E13</t>
  </si>
  <si>
    <t>Berechnung des Abschlages Rückbau korrigiert (bisher Kopie der Werte gemäss Reglement Gebäudestandard Minergie, Version 2023.1.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</si>
</sst>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7"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
      <b/>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7">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wrapText="1"/>
      <protection locked="0"/>
    </xf>
    <xf numFmtId="164" fontId="8" fillId="0" borderId="36" xfId="0" applyNumberFormat="1" applyFont="1" applyBorder="1" applyAlignment="1" applyProtection="1">
      <alignment horizontal="left" vertical="top" wrapText="1"/>
      <protection locked="0"/>
    </xf>
    <xf numFmtId="0" fontId="26" fillId="0" borderId="0" xfId="0" applyFont="1"/>
    <xf numFmtId="0" fontId="26" fillId="0" borderId="51" xfId="0" applyFont="1" applyBorder="1" applyAlignment="1">
      <alignment vertical="top"/>
    </xf>
    <xf numFmtId="0" fontId="0" fillId="0" borderId="51" xfId="0" applyBorder="1" applyAlignment="1">
      <alignment vertical="top"/>
    </xf>
    <xf numFmtId="0" fontId="0" fillId="0" borderId="51" xfId="0" applyBorder="1" applyAlignment="1">
      <alignment vertical="top" wrapText="1"/>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Energiebezugsflächen des Areals</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Neubauten nach Minergie</c:v>
                </c:pt>
                <c:pt idx="1">
                  <c:v>Erneuerungen nach Minergie (inkl. Systemerneuerungen)</c:v>
                </c:pt>
                <c:pt idx="2">
                  <c:v>Erneuerung nach GEAK A/B/C oder SNBS</c:v>
                </c:pt>
                <c:pt idx="3">
                  <c:v>Keine Erneuerung (bestehendes Minergie-Zertifikat)</c:v>
                </c:pt>
                <c:pt idx="4">
                  <c:v>Keine Erneuerung (Gebäude im Schutzinventar)</c:v>
                </c:pt>
                <c:pt idx="5">
                  <c:v>Keine Erneuerung (ohne Grund)</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113021</xdr:colOff>
      <xdr:row>0</xdr:row>
      <xdr:rowOff>104775</xdr:rowOff>
    </xdr:from>
    <xdr:to>
      <xdr:col>2</xdr:col>
      <xdr:colOff>689994</xdr:colOff>
      <xdr:row>1</xdr:row>
      <xdr:rowOff>559741</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1808" t="24774" r="1808" b="1"/>
        <a:stretch/>
      </xdr:blipFill>
      <xdr:spPr>
        <a:xfrm>
          <a:off x="370196" y="104775"/>
          <a:ext cx="2634373" cy="607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137969</xdr:colOff>
      <xdr:row>0</xdr:row>
      <xdr:rowOff>104775</xdr:rowOff>
    </xdr:from>
    <xdr:to>
      <xdr:col>2</xdr:col>
      <xdr:colOff>2915656</xdr:colOff>
      <xdr:row>2</xdr:row>
      <xdr:rowOff>16125</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t="36569"/>
        <a:stretch/>
      </xdr:blipFill>
      <xdr:spPr>
        <a:xfrm>
          <a:off x="538019" y="104775"/>
          <a:ext cx="2777687" cy="5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122432</xdr:colOff>
      <xdr:row>0</xdr:row>
      <xdr:rowOff>0</xdr:rowOff>
    </xdr:from>
    <xdr:to>
      <xdr:col>1</xdr:col>
      <xdr:colOff>2556910</xdr:colOff>
      <xdr:row>1</xdr:row>
      <xdr:rowOff>593726</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398657" y="0"/>
          <a:ext cx="2434478" cy="746126"/>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5546875" defaultRowHeight="12" outlineLevelCol="1" x14ac:dyDescent="0.2"/>
  <cols>
    <col min="1" max="1" width="3.85546875" style="1" customWidth="1"/>
    <col min="2" max="2" width="30.85546875" style="6" customWidth="1"/>
    <col min="3" max="3" width="11.85546875" style="1" customWidth="1"/>
    <col min="4" max="4" width="17.140625" style="3" customWidth="1"/>
    <col min="5" max="5" width="29.42578125" style="3" customWidth="1"/>
    <col min="6" max="6" width="24.140625" style="3" customWidth="1"/>
    <col min="7" max="7" width="21.85546875" style="3" customWidth="1"/>
    <col min="8" max="8" width="29.42578125" style="3" customWidth="1"/>
    <col min="9" max="12" width="28" style="3" hidden="1" customWidth="1" outlineLevel="1"/>
    <col min="13" max="13" width="28.570312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40625" style="3" customWidth="1"/>
    <col min="25" max="25" width="10.85546875" style="9" hidden="1" customWidth="1"/>
    <col min="26" max="26" width="25.140625" style="7" hidden="1" customWidth="1"/>
    <col min="27" max="16384" width="10.85546875" style="1"/>
  </cols>
  <sheetData>
    <row r="2" spans="2:7" ht="54" customHeight="1" x14ac:dyDescent="0.2">
      <c r="B2" s="11"/>
      <c r="C2" s="12"/>
      <c r="D2" s="315" t="str">
        <f>Uebersetzung!D6</f>
        <v>Anleitung</v>
      </c>
      <c r="E2" s="413" t="str">
        <f>Uebersetzung!D4</f>
        <v>Hilfstool zu Vorgaben A1.1, C1.1, C1.4 und C2.1</v>
      </c>
      <c r="F2" s="413"/>
      <c r="G2" s="13" t="str">
        <f>Uebersetzung!D11&amp;" "&amp;Uebersetzung!C2&amp;"."&amp;Uebersetzung!A2</f>
        <v>Version 2025.1</v>
      </c>
    </row>
    <row r="3" spans="2:7" ht="16.5" customHeight="1" x14ac:dyDescent="0.2">
      <c r="C3" s="5"/>
      <c r="D3" s="10"/>
      <c r="E3" s="10"/>
      <c r="G3" s="14"/>
    </row>
    <row r="4" spans="2:7" ht="22.5" customHeight="1" x14ac:dyDescent="0.2">
      <c r="B4" s="179" t="str">
        <f>Uebersetzung!D100</f>
        <v>Hinweise zum Hilftstool</v>
      </c>
      <c r="C4" s="40"/>
      <c r="D4" s="41"/>
      <c r="E4" s="41"/>
      <c r="F4" s="38"/>
      <c r="G4" s="42"/>
    </row>
    <row r="5" spans="2:7" ht="120.75" customHeight="1" x14ac:dyDescent="0.2">
      <c r="B5" s="418" t="str">
        <f>Uebersetzung!D7</f>
        <v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v>
      </c>
      <c r="C5" s="419"/>
      <c r="D5" s="419"/>
      <c r="E5" s="419"/>
      <c r="F5" s="419"/>
      <c r="G5" s="420"/>
    </row>
    <row r="6" spans="2:7" x14ac:dyDescent="0.2">
      <c r="B6" s="183"/>
      <c r="C6" s="184"/>
      <c r="D6" s="184"/>
      <c r="E6" s="184"/>
      <c r="F6" s="184"/>
      <c r="G6" s="185"/>
    </row>
    <row r="7" spans="2:7" ht="22.5" customHeight="1" x14ac:dyDescent="0.2">
      <c r="B7" s="39" t="str">
        <f>Uebersetzung!D6</f>
        <v>Anleitung</v>
      </c>
      <c r="C7" s="187"/>
      <c r="D7" s="187"/>
      <c r="E7" s="187"/>
      <c r="F7" s="187"/>
      <c r="G7" s="188"/>
    </row>
    <row r="8" spans="2:7" ht="4.3499999999999996" customHeight="1" x14ac:dyDescent="0.2">
      <c r="B8" s="186"/>
      <c r="C8" s="187"/>
      <c r="D8" s="187"/>
      <c r="E8" s="187"/>
      <c r="F8" s="187"/>
      <c r="G8" s="188"/>
    </row>
    <row r="9" spans="2:7" ht="22.5" customHeight="1" x14ac:dyDescent="0.2">
      <c r="B9" s="189" t="str">
        <f>Uebersetzung!D104</f>
        <v>Tabellenblatt "Eingabe"</v>
      </c>
      <c r="C9" s="187"/>
      <c r="D9" s="187"/>
      <c r="E9" s="423"/>
      <c r="F9" s="423"/>
      <c r="G9" s="188"/>
    </row>
    <row r="10" spans="2:7" ht="20.85" customHeight="1" x14ac:dyDescent="0.2">
      <c r="B10" s="418" t="str">
        <f>Uebersetzung!D103</f>
        <v>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v>
      </c>
      <c r="C10" s="419"/>
      <c r="D10" s="419"/>
      <c r="E10" s="422" t="str">
        <f>Uebersetzung!$D$8</f>
        <v>Eingabefeld</v>
      </c>
      <c r="F10" s="422"/>
      <c r="G10" s="182"/>
    </row>
    <row r="11" spans="2:7" ht="4.5" customHeight="1" x14ac:dyDescent="0.2">
      <c r="B11" s="418"/>
      <c r="C11" s="419"/>
      <c r="D11" s="419"/>
      <c r="G11" s="188"/>
    </row>
    <row r="12" spans="2:7" ht="20.85" customHeight="1" x14ac:dyDescent="0.2">
      <c r="B12" s="418"/>
      <c r="C12" s="419"/>
      <c r="D12" s="419"/>
      <c r="E12" s="424" t="str">
        <f>Uebersetzung!D163</f>
        <v>Eingabefeld (Freiwillig)</v>
      </c>
      <c r="F12" s="424"/>
      <c r="G12" s="182"/>
    </row>
    <row r="13" spans="2:7" ht="4.5" customHeight="1" x14ac:dyDescent="0.2">
      <c r="B13" s="418"/>
      <c r="C13" s="419"/>
      <c r="D13" s="419"/>
      <c r="G13" s="188"/>
    </row>
    <row r="14" spans="2:7" ht="20.85" customHeight="1" x14ac:dyDescent="0.2">
      <c r="B14" s="418"/>
      <c r="C14" s="419"/>
      <c r="D14" s="419"/>
      <c r="E14" s="421" t="str">
        <f>Uebersetzung!$D$10</f>
        <v>Auswahlfeld</v>
      </c>
      <c r="F14" s="421"/>
      <c r="G14" s="188"/>
    </row>
    <row r="15" spans="2:7" ht="6" customHeight="1" x14ac:dyDescent="0.2">
      <c r="B15" s="418"/>
      <c r="C15" s="419"/>
      <c r="D15" s="419"/>
      <c r="G15" s="188"/>
    </row>
    <row r="16" spans="2:7" ht="20.85" customHeight="1" x14ac:dyDescent="0.2">
      <c r="B16" s="418"/>
      <c r="C16" s="419"/>
      <c r="D16" s="419"/>
      <c r="E16" s="414" t="str">
        <f>Uebersetzung!$D$9</f>
        <v>Übertrag aus Gebäude-Minergie-Nachweis</v>
      </c>
      <c r="F16" s="414"/>
      <c r="G16" s="188"/>
    </row>
    <row r="17" spans="2:7" ht="31.35" customHeight="1" x14ac:dyDescent="0.2">
      <c r="B17" s="180"/>
      <c r="C17" s="181"/>
      <c r="D17" s="181"/>
      <c r="E17" s="190"/>
      <c r="F17" s="190"/>
      <c r="G17" s="188"/>
    </row>
    <row r="18" spans="2:7" ht="22.5" customHeight="1" x14ac:dyDescent="0.2">
      <c r="B18" s="189" t="str">
        <f>Uebersetzung!D105</f>
        <v>Tabellenblatt "Uebersicht"</v>
      </c>
      <c r="C18" s="187"/>
      <c r="D18" s="187"/>
      <c r="E18" s="187"/>
      <c r="F18" s="187"/>
      <c r="G18" s="188"/>
    </row>
    <row r="19" spans="2:7" ht="38.1" customHeight="1" x14ac:dyDescent="0.2">
      <c r="B19" s="415" t="str">
        <f>Uebersetzung!D106</f>
        <v>Alle Resultate sind auf dem Blatt "Uebersicht" verfügbar. Für die Zertifizierung ist die Unterschrift der Areal-Organisation, respektive der Bauherrschaft, auf dem Tabellenblatt "Uebersicht" erforderlich.</v>
      </c>
      <c r="C19" s="416"/>
      <c r="D19" s="416"/>
      <c r="E19" s="416"/>
      <c r="F19" s="416"/>
      <c r="G19" s="417"/>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6" sqref="E16"/>
    </sheetView>
  </sheetViews>
  <sheetFormatPr baseColWidth="10" defaultColWidth="10.85546875" defaultRowHeight="12" outlineLevelCol="1" x14ac:dyDescent="0.2"/>
  <cols>
    <col min="1" max="1" width="2.140625" style="121" customWidth="1"/>
    <col min="2" max="2" width="3.85546875" style="121" customWidth="1"/>
    <col min="3" max="3" width="52.85546875" style="120" customWidth="1"/>
    <col min="4" max="4" width="9.140625" style="121" customWidth="1"/>
    <col min="5" max="9" width="29.42578125" style="122" customWidth="1"/>
    <col min="10" max="13" width="28" style="122" customWidth="1"/>
    <col min="14" max="14" width="28.570312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40625" style="122" hidden="1" customWidth="1"/>
    <col min="26" max="26" width="10.85546875" style="127" hidden="1" customWidth="1"/>
    <col min="27" max="27" width="25.140625" style="79" hidden="1" customWidth="1"/>
    <col min="28" max="28" width="10.85546875" style="121" hidden="1" customWidth="1"/>
    <col min="29" max="29" width="0" style="121" hidden="1" customWidth="1"/>
    <col min="30" max="16384" width="10.85546875" style="121"/>
  </cols>
  <sheetData>
    <row r="1" spans="3:36" s="1" customFormat="1" x14ac:dyDescent="0.2">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
      <c r="C2" s="11"/>
      <c r="D2" s="12"/>
      <c r="E2" s="315" t="str">
        <f>Uebersetzung!D131</f>
        <v>Eingabe</v>
      </c>
      <c r="F2" s="428" t="str">
        <f>Uebersetzung!D4</f>
        <v>Hilfstool zu Vorgaben A1.1, C1.1, C1.4 und C2.1</v>
      </c>
      <c r="G2" s="428"/>
      <c r="H2" s="285" t="str">
        <f>Uebersetzung!D11&amp;" "&amp;Uebersetzung!C2&amp;"."&amp;Uebersetzung!A2</f>
        <v>Version 2025.1</v>
      </c>
      <c r="I2" s="129"/>
      <c r="J2" s="129"/>
      <c r="K2" s="129"/>
      <c r="L2" s="129"/>
      <c r="M2" s="129"/>
      <c r="N2" s="129"/>
      <c r="O2" s="129"/>
      <c r="P2" s="129"/>
      <c r="Q2" s="129"/>
      <c r="R2" s="129"/>
      <c r="S2" s="129"/>
      <c r="T2" s="129"/>
      <c r="U2" s="129"/>
      <c r="V2" s="129"/>
      <c r="W2" s="129"/>
      <c r="X2" s="130"/>
      <c r="Y2" s="3"/>
      <c r="Z2" s="9"/>
      <c r="AA2" s="7"/>
    </row>
    <row r="3" spans="3:36" s="1" customFormat="1" ht="11.45" customHeight="1" x14ac:dyDescent="0.2">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
      <c r="C4" s="191" t="str">
        <f>Uebersetzung!D196</f>
        <v>Areal Name</v>
      </c>
      <c r="D4" s="5"/>
      <c r="E4" s="49" t="str">
        <f>Uebersetzung!$D$10</f>
        <v>Auswahlfeld</v>
      </c>
      <c r="F4" s="50" t="str">
        <f>Uebersetzung!$D$8</f>
        <v>Eingabefeld</v>
      </c>
      <c r="G4" s="141" t="str">
        <f>Uebersetzung!D163</f>
        <v>Eingabefeld (Freiwillig)</v>
      </c>
      <c r="H4" s="48" t="str">
        <f>Uebersetzung!$D$9</f>
        <v>Übertrag aus Gebäude-Minergie-Nachweis</v>
      </c>
      <c r="I4" s="3"/>
      <c r="J4" s="3"/>
      <c r="K4" s="3"/>
      <c r="L4" s="3"/>
      <c r="M4" s="3"/>
      <c r="N4" s="3"/>
      <c r="O4" s="3"/>
      <c r="P4" s="3"/>
      <c r="Q4" s="3"/>
      <c r="R4" s="3"/>
      <c r="S4" s="3"/>
      <c r="T4" s="3"/>
      <c r="U4" s="3"/>
      <c r="V4" s="3"/>
      <c r="W4" s="3"/>
      <c r="X4" s="3"/>
      <c r="Y4" s="3"/>
      <c r="Z4" s="9"/>
      <c r="AA4" s="7"/>
    </row>
    <row r="5" spans="3:36" s="134" customFormat="1" ht="18" customHeight="1" x14ac:dyDescent="0.2">
      <c r="C5" s="335"/>
      <c r="D5" s="133"/>
      <c r="F5" s="115"/>
      <c r="I5" s="115"/>
      <c r="J5" s="77"/>
      <c r="K5" s="135"/>
      <c r="L5" s="115"/>
      <c r="M5" s="136"/>
      <c r="N5" s="136"/>
      <c r="O5" s="136"/>
      <c r="P5" s="136"/>
      <c r="Q5" s="136"/>
      <c r="R5" s="136"/>
      <c r="S5" s="311" t="str">
        <f>Uebersetzung!D125</f>
        <v>Mit dem + in der Spaltenüberschrift weitere Gebäude einfügen</v>
      </c>
      <c r="T5" s="136"/>
      <c r="U5" s="136"/>
      <c r="V5" s="136"/>
      <c r="W5" s="136"/>
      <c r="X5" s="137"/>
      <c r="Y5" s="121"/>
      <c r="Z5" s="138"/>
      <c r="AA5" s="139"/>
      <c r="AB5" s="140"/>
      <c r="AC5" s="140"/>
      <c r="AD5" s="140"/>
      <c r="AE5" s="140"/>
      <c r="AF5" s="140"/>
      <c r="AG5" s="140"/>
      <c r="AH5" s="140"/>
      <c r="AI5" s="140"/>
      <c r="AJ5" s="140"/>
    </row>
    <row r="6" spans="3:36" s="135" customFormat="1" ht="13.35" hidden="1" customHeight="1" x14ac:dyDescent="0.2">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
      <c r="E7" s="3"/>
      <c r="F7" s="3"/>
      <c r="G7" s="3"/>
      <c r="H7" s="3"/>
      <c r="I7" s="3"/>
      <c r="J7" s="3"/>
      <c r="K7" s="3"/>
      <c r="L7" s="3"/>
      <c r="M7" s="3"/>
      <c r="N7" s="8" t="str">
        <f>Uebersetzung!D125</f>
        <v>Mit dem + in der Spaltenüberschrift weitere Gebäude einfügen</v>
      </c>
      <c r="O7" s="3"/>
      <c r="P7" s="3"/>
      <c r="Q7" s="3"/>
      <c r="R7" s="3"/>
      <c r="S7" s="144"/>
      <c r="T7" s="8"/>
      <c r="U7" s="8"/>
      <c r="V7" s="8"/>
      <c r="W7" s="8"/>
      <c r="X7" s="144"/>
      <c r="Y7" s="3"/>
      <c r="Z7" s="9"/>
      <c r="AA7" s="7"/>
    </row>
    <row r="8" spans="3:36" s="2" customFormat="1" ht="17.45" customHeight="1" x14ac:dyDescent="0.25">
      <c r="C8" s="5"/>
      <c r="E8" s="145" t="str">
        <f>Uebersetzung!$D$13&amp;" "&amp;E6</f>
        <v>Gebäude 1</v>
      </c>
      <c r="F8" s="146" t="str">
        <f>Uebersetzung!$D$13&amp;" "&amp;F6</f>
        <v>Gebäude 2</v>
      </c>
      <c r="G8" s="146" t="str">
        <f>Uebersetzung!$D$13&amp;" "&amp;G6</f>
        <v>Gebäude 3</v>
      </c>
      <c r="H8" s="146" t="str">
        <f>Uebersetzung!$D$13&amp;" "&amp;H6</f>
        <v>Gebäude 4</v>
      </c>
      <c r="I8" s="146" t="str">
        <f>Uebersetzung!$D$13&amp;" "&amp;I6</f>
        <v>Gebäude 5</v>
      </c>
      <c r="J8" s="146" t="str">
        <f>Uebersetzung!$D$13&amp;" "&amp;J6</f>
        <v>Gebäude 6</v>
      </c>
      <c r="K8" s="146" t="str">
        <f>Uebersetzung!$D$13&amp;" "&amp;K6</f>
        <v>Gebäude 7</v>
      </c>
      <c r="L8" s="146" t="str">
        <f>Uebersetzung!$D$13&amp;" "&amp;L6</f>
        <v>Gebäude 8</v>
      </c>
      <c r="M8" s="146" t="str">
        <f>Uebersetzung!$D$13&amp;" "&amp;M6</f>
        <v>Gebäude 9</v>
      </c>
      <c r="N8" s="146" t="str">
        <f>Uebersetzung!$D$13&amp;" "&amp;N6</f>
        <v>Gebäude 10</v>
      </c>
      <c r="O8" s="146" t="str">
        <f ca="1">IF(CELL("Breite",K1)=0,Uebersetzung!$D$71&amp;" "&amp;Uebersetzung!$D$13,Uebersetzung!$D$13&amp;" "&amp;O6)</f>
        <v>Gebäude 11</v>
      </c>
      <c r="P8" s="146" t="str">
        <f ca="1">IF(CELL("Breite",L1)=0,Uebersetzung!$D$71&amp;" "&amp;Uebersetzung!$D$13,Uebersetzung!$D$13&amp;" "&amp;P6)</f>
        <v>Gebäude 12</v>
      </c>
      <c r="Q8" s="146" t="str">
        <f ca="1">IF(CELL("Breite",M1)=0,Uebersetzung!$D$71&amp;" "&amp;Uebersetzung!$D$13,Uebersetzung!$D$13&amp;" "&amp;Q6)</f>
        <v>Gebäude 13</v>
      </c>
      <c r="R8" s="146" t="str">
        <f ca="1">IF(CELL("Breite",N1)=0,Uebersetzung!$D$71&amp;" "&amp;Uebersetzung!$D$13,Uebersetzung!$D$13&amp;" "&amp;R6)</f>
        <v>Gebäude 14</v>
      </c>
      <c r="S8" s="146" t="str">
        <f ca="1">IF(CELL("Breite",O1)=0,Uebersetzung!$D$71&amp;" "&amp;Uebersetzung!$D$13,Uebersetzung!$D$13&amp;" "&amp;S6)</f>
        <v>Weitere Gebäude</v>
      </c>
      <c r="T8" s="177" t="str">
        <f>Uebersetzung!$D$13&amp;" "&amp;T6</f>
        <v>Gebäude 16</v>
      </c>
      <c r="U8" s="177" t="str">
        <f>Uebersetzung!$D$13&amp;" "&amp;U6</f>
        <v>Gebäude 17</v>
      </c>
      <c r="V8" s="177" t="str">
        <f>Uebersetzung!$D$13&amp;" "&amp;V6</f>
        <v>Gebäude 18</v>
      </c>
      <c r="W8" s="177" t="str">
        <f>Uebersetzung!$D$13&amp;" "&amp;W6</f>
        <v>Gebäude 19</v>
      </c>
      <c r="X8" s="178" t="str">
        <f ca="1">IF(CELL("Breite",W1)=0,Uebersetzung!D71&amp;" "&amp;Uebersetzung!D42,Uebersetzung!$D$13&amp;" "&amp;X6)</f>
        <v>Weitere Treibhausgasemissionen Erstellung aller Neubauten im Areal</v>
      </c>
      <c r="Y8" s="10"/>
      <c r="Z8" s="132"/>
      <c r="AA8" s="5"/>
    </row>
    <row r="9" spans="3:36" s="150" customFormat="1" x14ac:dyDescent="0.2">
      <c r="C9" s="51" t="str">
        <f>Uebersetzung!D14</f>
        <v>Angaben zu den Gebäuden</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25">
      <c r="C10" s="16" t="str">
        <f>Uebersetzung!D15</f>
        <v>Gebäudebezeichnung</v>
      </c>
      <c r="D10" s="54"/>
      <c r="E10" s="43"/>
      <c r="F10" s="43"/>
      <c r="G10" s="43"/>
      <c r="H10" s="43"/>
      <c r="I10" s="43"/>
      <c r="J10" s="43"/>
      <c r="K10" s="43"/>
      <c r="L10" s="43"/>
      <c r="M10" s="43"/>
      <c r="N10" s="43"/>
      <c r="O10" s="43"/>
      <c r="P10" s="43"/>
      <c r="Q10" s="43"/>
      <c r="R10" s="43"/>
      <c r="S10" s="43"/>
      <c r="T10" s="43"/>
      <c r="U10" s="43"/>
      <c r="V10" s="43"/>
      <c r="W10" s="43"/>
      <c r="X10" s="386"/>
      <c r="Y10" s="8"/>
      <c r="Z10" s="9"/>
      <c r="AA10" s="7"/>
    </row>
    <row r="11" spans="3:36" s="4" customFormat="1" ht="18.75" customHeight="1" x14ac:dyDescent="0.25">
      <c r="C11" s="47" t="str">
        <f>Uebersetzung!D130</f>
        <v>Gebäude-ID gemäss Label-Plattform</v>
      </c>
      <c r="D11" s="59"/>
      <c r="E11" s="337"/>
      <c r="F11" s="337"/>
      <c r="G11" s="337"/>
      <c r="H11" s="337"/>
      <c r="I11" s="337"/>
      <c r="J11" s="337"/>
      <c r="K11" s="337"/>
      <c r="L11" s="337"/>
      <c r="M11" s="337"/>
      <c r="N11" s="337"/>
      <c r="O11" s="337"/>
      <c r="P11" s="337"/>
      <c r="Q11" s="337"/>
      <c r="R11" s="337"/>
      <c r="S11" s="337"/>
      <c r="T11" s="337"/>
      <c r="U11" s="337"/>
      <c r="V11" s="337"/>
      <c r="W11" s="337"/>
      <c r="X11" s="387"/>
      <c r="Y11" s="8"/>
      <c r="Z11" s="9"/>
      <c r="AA11" s="7"/>
    </row>
    <row r="12" spans="3:36" s="4" customFormat="1" ht="18.75" customHeight="1" x14ac:dyDescent="0.25">
      <c r="C12" s="47" t="str">
        <f>Uebersetzung!D112</f>
        <v>Geschossfläche</v>
      </c>
      <c r="D12" s="59" t="s">
        <v>4</v>
      </c>
      <c r="E12" s="44"/>
      <c r="F12" s="44"/>
      <c r="G12" s="44"/>
      <c r="H12" s="44"/>
      <c r="I12" s="44"/>
      <c r="J12" s="44"/>
      <c r="K12" s="44"/>
      <c r="L12" s="44"/>
      <c r="M12" s="44"/>
      <c r="N12" s="44"/>
      <c r="O12" s="44"/>
      <c r="P12" s="44"/>
      <c r="Q12" s="44"/>
      <c r="R12" s="44"/>
      <c r="S12" s="44"/>
      <c r="T12" s="44"/>
      <c r="U12" s="44"/>
      <c r="V12" s="44"/>
      <c r="W12" s="44"/>
      <c r="X12" s="388"/>
      <c r="Y12" s="8"/>
      <c r="Z12" s="9"/>
      <c r="AA12" s="7"/>
    </row>
    <row r="13" spans="3:36" s="4" customFormat="1" ht="18.75" customHeight="1" x14ac:dyDescent="0.25">
      <c r="C13" s="47" t="str">
        <f>Uebersetzung!$D$17&amp;" "&amp;Uebersetzung!D164</f>
        <v>Energiebezugsfläche EBF Standardwert</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89">
        <f t="shared" si="0"/>
        <v>0</v>
      </c>
      <c r="Y13" s="148"/>
      <c r="Z13" s="149"/>
      <c r="AA13" s="7"/>
    </row>
    <row r="14" spans="3:36" s="4" customFormat="1" ht="18.75" customHeight="1" x14ac:dyDescent="0.25">
      <c r="C14" s="47" t="str">
        <f>Uebersetzung!$D$17&amp;" "&amp;Uebersetzung!D165</f>
        <v>Energiebezugsfläche EBF Standardwert überschreiben</v>
      </c>
      <c r="D14" s="59" t="s">
        <v>4</v>
      </c>
      <c r="E14" s="44"/>
      <c r="F14" s="44"/>
      <c r="G14" s="44"/>
      <c r="H14" s="44"/>
      <c r="I14" s="44"/>
      <c r="J14" s="44"/>
      <c r="K14" s="44"/>
      <c r="L14" s="44"/>
      <c r="M14" s="44"/>
      <c r="N14" s="44"/>
      <c r="O14" s="44"/>
      <c r="P14" s="44"/>
      <c r="Q14" s="44"/>
      <c r="R14" s="44"/>
      <c r="S14" s="44"/>
      <c r="T14" s="44"/>
      <c r="U14" s="44"/>
      <c r="V14" s="44"/>
      <c r="W14" s="44"/>
      <c r="X14" s="388"/>
      <c r="Y14" s="8"/>
      <c r="Z14" s="9"/>
      <c r="AA14" s="7"/>
    </row>
    <row r="15" spans="3:36" s="4" customFormat="1" ht="18.75" hidden="1" customHeight="1" x14ac:dyDescent="0.25">
      <c r="C15" s="47" t="str">
        <f>Uebersetzung!D185</f>
        <v>Energiebezugsfläche EBF für Berechnung</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89">
        <f t="shared" si="1"/>
        <v>0</v>
      </c>
      <c r="Y15" s="8"/>
      <c r="Z15" s="149"/>
      <c r="AA15" s="7"/>
    </row>
    <row r="16" spans="3:36" s="4" customFormat="1" ht="18.75" customHeight="1" x14ac:dyDescent="0.25">
      <c r="C16" s="47" t="str">
        <f>Uebersetzung!D199</f>
        <v>Neubau oder Bestandesbau?</v>
      </c>
      <c r="D16" s="355"/>
      <c r="E16" s="44"/>
      <c r="F16" s="44"/>
      <c r="G16" s="44"/>
      <c r="H16" s="44"/>
      <c r="I16" s="44"/>
      <c r="J16" s="44"/>
      <c r="K16" s="44"/>
      <c r="L16" s="44"/>
      <c r="M16" s="44"/>
      <c r="N16" s="44"/>
      <c r="O16" s="44"/>
      <c r="P16" s="44"/>
      <c r="Q16" s="44"/>
      <c r="R16" s="44"/>
      <c r="S16" s="44"/>
      <c r="T16" s="44"/>
      <c r="U16" s="44"/>
      <c r="V16" s="44"/>
      <c r="W16" s="44"/>
      <c r="X16" s="388"/>
      <c r="Y16" s="8"/>
      <c r="Z16" s="9"/>
      <c r="AA16" s="7"/>
    </row>
    <row r="17" spans="2:27" s="342" customFormat="1" ht="24.75" customHeight="1" x14ac:dyDescent="0.25">
      <c r="C17" s="286" t="str">
        <f>Uebersetzung!$D$18</f>
        <v>Art der Erneuerung der Gebäudehülle</v>
      </c>
      <c r="D17" s="341"/>
      <c r="E17" s="338"/>
      <c r="F17" s="338"/>
      <c r="G17" s="338"/>
      <c r="H17" s="338"/>
      <c r="I17" s="338"/>
      <c r="J17" s="338"/>
      <c r="K17" s="338"/>
      <c r="L17" s="338"/>
      <c r="M17" s="338"/>
      <c r="N17" s="338"/>
      <c r="O17" s="338"/>
      <c r="P17" s="338"/>
      <c r="Q17" s="338"/>
      <c r="R17" s="338"/>
      <c r="S17" s="338"/>
      <c r="T17" s="338"/>
      <c r="U17" s="338"/>
      <c r="V17" s="338"/>
      <c r="W17" s="338"/>
      <c r="X17" s="390"/>
      <c r="Y17" s="261"/>
      <c r="Z17" s="149"/>
      <c r="AA17" s="7"/>
    </row>
    <row r="18" spans="2:27" s="353" customFormat="1" ht="24.75" hidden="1" customHeight="1" x14ac:dyDescent="0.25">
      <c r="C18" s="354" t="str">
        <f>Uebersetzung!D202</f>
        <v>Bauvorhaben</v>
      </c>
      <c r="E18" s="357">
        <f>IF(E16=Neubau,Eingabe!E16,E17)</f>
        <v>0</v>
      </c>
      <c r="F18" s="357">
        <f>IF(F16=Neubau,Eingabe!F16,F17)</f>
        <v>0</v>
      </c>
      <c r="G18" s="357">
        <f>IF(G16=Neubau,Eingabe!G16,G17)</f>
        <v>0</v>
      </c>
      <c r="H18" s="357">
        <f>IF(H16=Neubau,Eingabe!H16,H17)</f>
        <v>0</v>
      </c>
      <c r="I18" s="357">
        <f>IF(I16=Neubau,Eingabe!I16,I17)</f>
        <v>0</v>
      </c>
      <c r="J18" s="357">
        <f>IF(J16=Neubau,Eingabe!J16,J17)</f>
        <v>0</v>
      </c>
      <c r="K18" s="357">
        <f>IF(K16=Neubau,Eingabe!K16,K17)</f>
        <v>0</v>
      </c>
      <c r="L18" s="357">
        <f>IF(L16=Neubau,Eingabe!L16,L17)</f>
        <v>0</v>
      </c>
      <c r="M18" s="357">
        <f>IF(M16=Neubau,Eingabe!M16,M17)</f>
        <v>0</v>
      </c>
      <c r="N18" s="357">
        <f>IF(N16=Neubau,Eingabe!N16,N17)</f>
        <v>0</v>
      </c>
      <c r="O18" s="357">
        <f>IF(O16=Neubau,Eingabe!O16,O17)</f>
        <v>0</v>
      </c>
      <c r="P18" s="357">
        <f>IF(P16=Neubau,Eingabe!P16,P17)</f>
        <v>0</v>
      </c>
      <c r="Q18" s="357">
        <f>IF(Q16=Neubau,Eingabe!Q16,Q17)</f>
        <v>0</v>
      </c>
      <c r="R18" s="357">
        <f>IF(R16=Neubau,Eingabe!R16,R17)</f>
        <v>0</v>
      </c>
      <c r="S18" s="357">
        <f>IF(S16=Neubau,Eingabe!S16,S17)</f>
        <v>0</v>
      </c>
      <c r="T18" s="357">
        <f>IF(T16=Neubau,Eingabe!T16,T17)</f>
        <v>0</v>
      </c>
      <c r="U18" s="357">
        <f>IF(U16=Neubau,Eingabe!U16,U17)</f>
        <v>0</v>
      </c>
      <c r="V18" s="357">
        <f>IF(V16=Neubau,Eingabe!V16,V17)</f>
        <v>0</v>
      </c>
      <c r="W18" s="357">
        <f>IF(W16=Neubau,Eingabe!W16,W17)</f>
        <v>0</v>
      </c>
      <c r="X18" s="391">
        <f>IF(X16=Neubau,Eingabe!X16,X17)</f>
        <v>0</v>
      </c>
      <c r="Y18" s="356"/>
      <c r="Z18" s="9"/>
      <c r="AA18" s="7"/>
    </row>
    <row r="19" spans="2:27" s="4" customFormat="1" ht="18.75" customHeight="1" x14ac:dyDescent="0.25">
      <c r="C19" s="47" t="str">
        <f>Uebersetzung!D147</f>
        <v>Zertifikatsnummer</v>
      </c>
      <c r="D19" s="59"/>
      <c r="E19" s="324"/>
      <c r="F19" s="324"/>
      <c r="G19" s="324"/>
      <c r="H19" s="324"/>
      <c r="I19" s="324"/>
      <c r="J19" s="324"/>
      <c r="K19" s="324"/>
      <c r="L19" s="324"/>
      <c r="M19" s="324"/>
      <c r="N19" s="324"/>
      <c r="O19" s="324"/>
      <c r="P19" s="324"/>
      <c r="Q19" s="324"/>
      <c r="R19" s="324"/>
      <c r="S19" s="324"/>
      <c r="T19" s="324"/>
      <c r="U19" s="324"/>
      <c r="V19" s="324"/>
      <c r="W19" s="324"/>
      <c r="X19" s="392"/>
      <c r="Y19" s="7"/>
      <c r="Z19" s="149"/>
      <c r="AA19" s="7"/>
    </row>
    <row r="20" spans="2:27" s="4" customFormat="1" ht="18.75" customHeight="1" x14ac:dyDescent="0.25">
      <c r="B20" s="162"/>
      <c r="C20" s="47" t="str">
        <f>Uebersetzung!D19</f>
        <v>Minergie-Standard</v>
      </c>
      <c r="D20" s="59"/>
      <c r="E20" s="324"/>
      <c r="F20" s="324"/>
      <c r="G20" s="324"/>
      <c r="H20" s="324"/>
      <c r="I20" s="324"/>
      <c r="J20" s="324"/>
      <c r="K20" s="324"/>
      <c r="L20" s="324"/>
      <c r="M20" s="324"/>
      <c r="N20" s="324"/>
      <c r="O20" s="324"/>
      <c r="P20" s="324"/>
      <c r="Q20" s="324"/>
      <c r="R20" s="324"/>
      <c r="S20" s="324"/>
      <c r="T20" s="324"/>
      <c r="U20" s="324"/>
      <c r="V20" s="324"/>
      <c r="W20" s="324"/>
      <c r="X20" s="392"/>
      <c r="Y20" s="7"/>
      <c r="Z20" s="9"/>
      <c r="AA20" s="7"/>
    </row>
    <row r="21" spans="2:27" s="4" customFormat="1" ht="18.75" customHeight="1" x14ac:dyDescent="0.25">
      <c r="B21" s="162"/>
      <c r="C21" s="47" t="str">
        <f>Uebersetzung!D195</f>
        <v>Baubeginn Neubau / Erneuerung (Jahr)</v>
      </c>
      <c r="D21" s="59"/>
      <c r="E21" s="339"/>
      <c r="F21" s="339"/>
      <c r="G21" s="339"/>
      <c r="H21" s="339"/>
      <c r="I21" s="339"/>
      <c r="J21" s="339"/>
      <c r="K21" s="339"/>
      <c r="L21" s="339"/>
      <c r="M21" s="339"/>
      <c r="N21" s="339"/>
      <c r="O21" s="339"/>
      <c r="P21" s="339"/>
      <c r="Q21" s="339"/>
      <c r="R21" s="339"/>
      <c r="S21" s="339"/>
      <c r="T21" s="339"/>
      <c r="U21" s="339"/>
      <c r="V21" s="339"/>
      <c r="W21" s="339"/>
      <c r="X21" s="393"/>
      <c r="Y21" s="8"/>
    </row>
    <row r="22" spans="2:27" s="4" customFormat="1" ht="18.75" customHeight="1" x14ac:dyDescent="0.25">
      <c r="C22" s="33" t="str">
        <f>Uebersetzung!D176</f>
        <v>Gebäudekategorie Bestandesbauten (Hauptnutzung)</v>
      </c>
      <c r="D22" s="56"/>
      <c r="E22" s="340"/>
      <c r="F22" s="340"/>
      <c r="G22" s="340"/>
      <c r="H22" s="340"/>
      <c r="I22" s="340"/>
      <c r="J22" s="340"/>
      <c r="K22" s="340"/>
      <c r="L22" s="340"/>
      <c r="M22" s="340"/>
      <c r="N22" s="340"/>
      <c r="O22" s="340"/>
      <c r="P22" s="340"/>
      <c r="Q22" s="340"/>
      <c r="R22" s="340"/>
      <c r="S22" s="340"/>
      <c r="T22" s="340"/>
      <c r="U22" s="340"/>
      <c r="V22" s="340"/>
      <c r="W22" s="340"/>
      <c r="X22" s="394"/>
      <c r="Y22" s="7"/>
      <c r="AA22" s="7"/>
    </row>
    <row r="23" spans="2:27" s="4" customFormat="1" ht="27.75" customHeight="1" x14ac:dyDescent="0.2">
      <c r="C23" s="432" t="str">
        <f>Uebersetzung!D167&amp;" "&amp;Uebersetzung!D156</f>
        <v>Zusätzliche Angaben bei Neubauten nach Minergie</v>
      </c>
      <c r="D23" s="432"/>
      <c r="E23" s="334" t="str">
        <f>IF(E18=Neubau,IF(E80&lt;&gt;E15,Uebersetzung!$D$138,""),"")</f>
        <v/>
      </c>
      <c r="F23" s="334" t="str">
        <f>IF(F18=Neubau,IF(F80&lt;&gt;F15,Uebersetzung!$D$138,""),"")</f>
        <v/>
      </c>
      <c r="G23" s="334" t="str">
        <f>IF(G18=Neubau,IF(G80&lt;&gt;G15,Uebersetzung!$D$138,""),"")</f>
        <v/>
      </c>
      <c r="H23" s="334" t="str">
        <f>IF(H18=Neubau,IF(H80&lt;&gt;H15,Uebersetzung!$D$138,""),"")</f>
        <v/>
      </c>
      <c r="I23" s="334" t="str">
        <f>IF(I18=Neubau,IF(I80&lt;&gt;I15,Uebersetzung!$D$138,""),"")</f>
        <v/>
      </c>
      <c r="J23" s="334" t="str">
        <f>IF(J18=Neubau,IF(J80&lt;&gt;J15,Uebersetzung!$D$138,""),"")</f>
        <v/>
      </c>
      <c r="K23" s="334" t="str">
        <f>IF(K18=Neubau,IF(K80&lt;&gt;K15,Uebersetzung!$D$138,""),"")</f>
        <v/>
      </c>
      <c r="L23" s="334" t="str">
        <f>IF(L18=Neubau,IF(L80&lt;&gt;L15,Uebersetzung!$D$138,""),"")</f>
        <v/>
      </c>
      <c r="M23" s="334" t="str">
        <f>IF(M18=Neubau,IF(M80&lt;&gt;M15,Uebersetzung!$D$138,""),"")</f>
        <v/>
      </c>
      <c r="N23" s="334" t="str">
        <f>IF(N18=Neubau,IF(N80&lt;&gt;N15,Uebersetzung!$D$138,""),"")</f>
        <v/>
      </c>
      <c r="O23" s="334" t="str">
        <f>IF(O18=Neubau,IF(O80&lt;&gt;O15,Uebersetzung!$D$138,""),"")</f>
        <v/>
      </c>
      <c r="P23" s="334" t="str">
        <f>IF(P18=Neubau,IF(P80&lt;&gt;P15,Uebersetzung!$D$138,""),"")</f>
        <v/>
      </c>
      <c r="Q23" s="334" t="str">
        <f>IF(Q18=Neubau,IF(Q80&lt;&gt;Q15,Uebersetzung!$D$138,""),"")</f>
        <v/>
      </c>
      <c r="R23" s="334" t="str">
        <f>IF(R18=Neubau,IF(R80&lt;&gt;R15,Uebersetzung!$D$138,""),"")</f>
        <v/>
      </c>
      <c r="S23" s="334" t="str">
        <f>IF(S18=Neubau,IF(S80&lt;&gt;S15,Uebersetzung!$D$138,""),"")</f>
        <v/>
      </c>
      <c r="T23" s="334" t="str">
        <f>IF(T18=Neubau,IF(T80&lt;&gt;T15,Uebersetzung!$D$138,""),"")</f>
        <v/>
      </c>
      <c r="U23" s="334" t="str">
        <f>IF(U18=Neubau,IF(U80&lt;&gt;U15,Uebersetzung!$D$138,""),"")</f>
        <v/>
      </c>
      <c r="V23" s="334" t="str">
        <f>IF(V18=Neubau,IF(V80&lt;&gt;V15,Uebersetzung!$D$138,""),"")</f>
        <v/>
      </c>
      <c r="W23" s="334" t="str">
        <f>IF(W18=Neubau,IF(W80&lt;&gt;W15,Uebersetzung!$D$138,""),"")</f>
        <v/>
      </c>
      <c r="X23" s="334" t="str">
        <f>IF(X18=Neubau,IF(X80&lt;&gt;X15,Uebersetzung!$D$138,""),"")</f>
        <v/>
      </c>
      <c r="Y23" s="7"/>
      <c r="Z23" s="9"/>
      <c r="AA23" s="7"/>
    </row>
    <row r="24" spans="2:27" s="4" customFormat="1" ht="18.75" customHeight="1" x14ac:dyDescent="0.25">
      <c r="B24" s="429" t="str">
        <f>Uebersetzung!$D$56&amp;" "&amp;1</f>
        <v>Zone 1</v>
      </c>
      <c r="C24" s="16" t="str">
        <f>Uebersetzung!$D$16</f>
        <v>Gebäudekategorie</v>
      </c>
      <c r="D24" s="54"/>
      <c r="E24" s="317"/>
      <c r="F24" s="317"/>
      <c r="G24" s="317"/>
      <c r="H24" s="317"/>
      <c r="I24" s="317"/>
      <c r="J24" s="317"/>
      <c r="K24" s="317"/>
      <c r="L24" s="317"/>
      <c r="M24" s="317"/>
      <c r="N24" s="317"/>
      <c r="O24" s="317"/>
      <c r="P24" s="317"/>
      <c r="Q24" s="317"/>
      <c r="R24" s="317"/>
      <c r="S24" s="317"/>
      <c r="T24" s="317"/>
      <c r="U24" s="317"/>
      <c r="V24" s="317"/>
      <c r="W24" s="317"/>
      <c r="X24" s="395"/>
      <c r="Y24" s="7"/>
      <c r="Z24" s="9"/>
      <c r="AA24" s="7"/>
    </row>
    <row r="25" spans="2:27" s="4" customFormat="1" ht="18.75" customHeight="1" x14ac:dyDescent="0.25">
      <c r="B25" s="430"/>
      <c r="C25" s="156" t="str">
        <f>Uebersetzung!$D$186&amp;" "&amp;Uebersetzung!$D$17</f>
        <v>Anteil Energiebezugsfläche EBF</v>
      </c>
      <c r="D25" s="72" t="s">
        <v>526</v>
      </c>
      <c r="E25" s="298"/>
      <c r="F25" s="298"/>
      <c r="G25" s="298"/>
      <c r="H25" s="298"/>
      <c r="I25" s="298"/>
      <c r="J25" s="298"/>
      <c r="K25" s="298"/>
      <c r="L25" s="298"/>
      <c r="M25" s="298"/>
      <c r="N25" s="298"/>
      <c r="O25" s="298"/>
      <c r="P25" s="298"/>
      <c r="Q25" s="298"/>
      <c r="R25" s="298"/>
      <c r="S25" s="298"/>
      <c r="T25" s="298"/>
      <c r="U25" s="298"/>
      <c r="V25" s="298"/>
      <c r="W25" s="298"/>
      <c r="X25" s="396"/>
      <c r="Y25" s="148"/>
    </row>
    <row r="26" spans="2:27" s="4" customFormat="1" ht="14.25" customHeight="1" x14ac:dyDescent="0.25">
      <c r="B26" s="431"/>
      <c r="C26" s="33" t="str">
        <f>Uebersetzung!$D$17</f>
        <v>Energiebezugsfläche EBF</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7">
        <f t="shared" si="2"/>
        <v>0</v>
      </c>
      <c r="Y26" s="148"/>
    </row>
    <row r="27" spans="2:27" s="4" customFormat="1" ht="18.75" customHeight="1" x14ac:dyDescent="0.25">
      <c r="B27" s="429" t="str">
        <f>Uebersetzung!$D$56&amp;" "&amp;2</f>
        <v>Zone 2</v>
      </c>
      <c r="C27" s="157" t="str">
        <f>Uebersetzung!$D$16</f>
        <v>Gebäudekategorie</v>
      </c>
      <c r="D27" s="54"/>
      <c r="E27" s="317"/>
      <c r="F27" s="317"/>
      <c r="G27" s="317"/>
      <c r="H27" s="317"/>
      <c r="I27" s="317"/>
      <c r="J27" s="317"/>
      <c r="K27" s="317"/>
      <c r="L27" s="317"/>
      <c r="M27" s="317"/>
      <c r="N27" s="317"/>
      <c r="O27" s="317"/>
      <c r="P27" s="317"/>
      <c r="Q27" s="317"/>
      <c r="R27" s="317"/>
      <c r="S27" s="317"/>
      <c r="T27" s="317"/>
      <c r="U27" s="317"/>
      <c r="V27" s="317"/>
      <c r="W27" s="317"/>
      <c r="X27" s="395"/>
      <c r="Y27" s="7"/>
      <c r="Z27" s="9"/>
      <c r="AA27" s="7"/>
    </row>
    <row r="28" spans="2:27" s="4" customFormat="1" ht="18.75" customHeight="1" x14ac:dyDescent="0.25">
      <c r="B28" s="430"/>
      <c r="C28" s="156" t="str">
        <f>Uebersetzung!$D$186&amp;" "&amp;Uebersetzung!$D$17</f>
        <v>Anteil Energiebezugsfläche EBF</v>
      </c>
      <c r="D28" s="72" t="s">
        <v>526</v>
      </c>
      <c r="E28" s="298"/>
      <c r="F28" s="298"/>
      <c r="G28" s="298"/>
      <c r="H28" s="298"/>
      <c r="I28" s="298"/>
      <c r="J28" s="298"/>
      <c r="K28" s="298"/>
      <c r="L28" s="298"/>
      <c r="M28" s="298"/>
      <c r="N28" s="298"/>
      <c r="O28" s="298"/>
      <c r="P28" s="298"/>
      <c r="Q28" s="298"/>
      <c r="R28" s="298"/>
      <c r="S28" s="298"/>
      <c r="T28" s="298"/>
      <c r="U28" s="298"/>
      <c r="V28" s="298"/>
      <c r="W28" s="298"/>
      <c r="X28" s="396"/>
      <c r="Y28" s="148"/>
      <c r="Z28" s="149"/>
      <c r="AA28" s="7"/>
    </row>
    <row r="29" spans="2:27" s="4" customFormat="1" ht="14.25" customHeight="1" x14ac:dyDescent="0.25">
      <c r="B29" s="431"/>
      <c r="C29" s="33" t="str">
        <f>Uebersetzung!$D$17</f>
        <v>Energiebezugsfläche EBF</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7">
        <f t="shared" si="3"/>
        <v>0</v>
      </c>
      <c r="Y29" s="148"/>
    </row>
    <row r="30" spans="2:27" s="4" customFormat="1" ht="18.75" customHeight="1" x14ac:dyDescent="0.25">
      <c r="B30" s="429" t="str">
        <f>Uebersetzung!$D$56&amp;" "&amp;3</f>
        <v>Zone 3</v>
      </c>
      <c r="C30" s="157" t="str">
        <f>Uebersetzung!$D$16</f>
        <v>Gebäudekategorie</v>
      </c>
      <c r="D30" s="54"/>
      <c r="E30" s="317"/>
      <c r="F30" s="317"/>
      <c r="G30" s="317"/>
      <c r="H30" s="317"/>
      <c r="I30" s="317"/>
      <c r="J30" s="317"/>
      <c r="K30" s="317"/>
      <c r="L30" s="317"/>
      <c r="M30" s="317"/>
      <c r="N30" s="317"/>
      <c r="O30" s="317"/>
      <c r="P30" s="317"/>
      <c r="Q30" s="317"/>
      <c r="R30" s="317"/>
      <c r="S30" s="317"/>
      <c r="T30" s="317"/>
      <c r="U30" s="317"/>
      <c r="V30" s="317"/>
      <c r="W30" s="317"/>
      <c r="X30" s="395"/>
      <c r="Y30" s="7"/>
      <c r="Z30" s="9"/>
      <c r="AA30" s="7"/>
    </row>
    <row r="31" spans="2:27" s="4" customFormat="1" ht="18.75" customHeight="1" x14ac:dyDescent="0.25">
      <c r="B31" s="430"/>
      <c r="C31" s="156" t="str">
        <f>Uebersetzung!$D$186&amp;" "&amp;Uebersetzung!$D$17</f>
        <v>Anteil Energiebezugsfläche EBF</v>
      </c>
      <c r="D31" s="72" t="s">
        <v>526</v>
      </c>
      <c r="E31" s="298"/>
      <c r="F31" s="298"/>
      <c r="G31" s="298"/>
      <c r="H31" s="298"/>
      <c r="I31" s="298"/>
      <c r="J31" s="298"/>
      <c r="K31" s="298"/>
      <c r="L31" s="298"/>
      <c r="M31" s="298"/>
      <c r="N31" s="298"/>
      <c r="O31" s="298"/>
      <c r="P31" s="298"/>
      <c r="Q31" s="298"/>
      <c r="R31" s="298"/>
      <c r="S31" s="298"/>
      <c r="T31" s="298"/>
      <c r="U31" s="298"/>
      <c r="V31" s="298"/>
      <c r="W31" s="298"/>
      <c r="X31" s="396"/>
      <c r="Y31" s="148"/>
      <c r="Z31" s="149"/>
      <c r="AA31" s="7"/>
    </row>
    <row r="32" spans="2:27" s="4" customFormat="1" ht="14.25" customHeight="1" x14ac:dyDescent="0.25">
      <c r="B32" s="431"/>
      <c r="C32" s="33" t="str">
        <f>Uebersetzung!$D$17</f>
        <v>Energiebezugsfläche EBF</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7">
        <f t="shared" si="4"/>
        <v>0</v>
      </c>
      <c r="Y32" s="148"/>
    </row>
    <row r="33" spans="2:27" s="4" customFormat="1" ht="18.75" customHeight="1" x14ac:dyDescent="0.25">
      <c r="B33" s="429" t="str">
        <f>Uebersetzung!$D$56&amp;" "&amp;4</f>
        <v>Zone 4</v>
      </c>
      <c r="C33" s="157" t="str">
        <f>Uebersetzung!$D$16</f>
        <v>Gebäudekategorie</v>
      </c>
      <c r="D33" s="54"/>
      <c r="E33" s="317"/>
      <c r="F33" s="317"/>
      <c r="G33" s="317"/>
      <c r="H33" s="317"/>
      <c r="I33" s="317"/>
      <c r="J33" s="317"/>
      <c r="K33" s="317"/>
      <c r="L33" s="317"/>
      <c r="M33" s="317"/>
      <c r="N33" s="317"/>
      <c r="O33" s="317"/>
      <c r="P33" s="317"/>
      <c r="Q33" s="317"/>
      <c r="R33" s="317"/>
      <c r="S33" s="317"/>
      <c r="T33" s="317"/>
      <c r="U33" s="317"/>
      <c r="V33" s="317"/>
      <c r="W33" s="317"/>
      <c r="X33" s="395"/>
      <c r="Y33" s="7"/>
      <c r="Z33" s="9"/>
      <c r="AA33" s="7"/>
    </row>
    <row r="34" spans="2:27" s="4" customFormat="1" ht="18.75" customHeight="1" x14ac:dyDescent="0.25">
      <c r="B34" s="430"/>
      <c r="C34" s="156" t="str">
        <f>Uebersetzung!$D$186&amp;" "&amp;Uebersetzung!$D$17</f>
        <v>Anteil Energiebezugsfläche EBF</v>
      </c>
      <c r="D34" s="72" t="s">
        <v>526</v>
      </c>
      <c r="E34" s="298"/>
      <c r="F34" s="298"/>
      <c r="G34" s="298"/>
      <c r="H34" s="298"/>
      <c r="I34" s="298"/>
      <c r="J34" s="298"/>
      <c r="K34" s="298"/>
      <c r="L34" s="298"/>
      <c r="M34" s="298"/>
      <c r="N34" s="298"/>
      <c r="O34" s="298"/>
      <c r="P34" s="298"/>
      <c r="Q34" s="298"/>
      <c r="R34" s="298"/>
      <c r="S34" s="298"/>
      <c r="T34" s="298"/>
      <c r="U34" s="298"/>
      <c r="V34" s="298"/>
      <c r="W34" s="298"/>
      <c r="X34" s="396"/>
      <c r="Y34" s="148"/>
      <c r="Z34" s="149"/>
      <c r="AA34" s="7"/>
    </row>
    <row r="35" spans="2:27" s="4" customFormat="1" ht="14.25" customHeight="1" x14ac:dyDescent="0.25">
      <c r="B35" s="431"/>
      <c r="C35" s="33" t="str">
        <f>Uebersetzung!$D$17</f>
        <v>Energiebezugsfläche EBF</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7">
        <f t="shared" si="5"/>
        <v>0</v>
      </c>
      <c r="Y35" s="148"/>
    </row>
    <row r="36" spans="2:27" s="4" customFormat="1" ht="18.75" customHeight="1" x14ac:dyDescent="0.25">
      <c r="B36" s="429" t="str">
        <f>Uebersetzung!$D$56&amp;" "&amp;5</f>
        <v>Zone 5</v>
      </c>
      <c r="C36" s="157" t="str">
        <f>Uebersetzung!$D$16</f>
        <v>Gebäudekategorie</v>
      </c>
      <c r="D36" s="54"/>
      <c r="E36" s="317"/>
      <c r="F36" s="317"/>
      <c r="G36" s="317"/>
      <c r="H36" s="317"/>
      <c r="I36" s="317"/>
      <c r="J36" s="317"/>
      <c r="K36" s="317"/>
      <c r="L36" s="317"/>
      <c r="M36" s="317"/>
      <c r="N36" s="317"/>
      <c r="O36" s="317"/>
      <c r="P36" s="317"/>
      <c r="Q36" s="317"/>
      <c r="R36" s="317"/>
      <c r="S36" s="317"/>
      <c r="T36" s="317"/>
      <c r="U36" s="317"/>
      <c r="V36" s="317"/>
      <c r="W36" s="317"/>
      <c r="X36" s="395"/>
      <c r="Y36" s="7"/>
      <c r="Z36" s="9"/>
      <c r="AA36" s="7"/>
    </row>
    <row r="37" spans="2:27" s="4" customFormat="1" ht="18.75" customHeight="1" x14ac:dyDescent="0.25">
      <c r="B37" s="430"/>
      <c r="C37" s="156" t="str">
        <f>Uebersetzung!$D$186&amp;" "&amp;Uebersetzung!$D$17</f>
        <v>Anteil Energiebezugsfläche EBF</v>
      </c>
      <c r="D37" s="72" t="s">
        <v>526</v>
      </c>
      <c r="E37" s="299"/>
      <c r="F37" s="299"/>
      <c r="G37" s="299"/>
      <c r="H37" s="299"/>
      <c r="I37" s="299"/>
      <c r="J37" s="299"/>
      <c r="K37" s="299"/>
      <c r="L37" s="299"/>
      <c r="M37" s="299"/>
      <c r="N37" s="299"/>
      <c r="O37" s="299"/>
      <c r="P37" s="299"/>
      <c r="Q37" s="299"/>
      <c r="R37" s="299"/>
      <c r="S37" s="299"/>
      <c r="T37" s="299"/>
      <c r="U37" s="299"/>
      <c r="V37" s="299"/>
      <c r="W37" s="299"/>
      <c r="X37" s="398"/>
      <c r="Y37" s="148"/>
      <c r="Z37" s="149"/>
      <c r="AA37" s="7"/>
    </row>
    <row r="38" spans="2:27" s="4" customFormat="1" ht="14.25" customHeight="1" x14ac:dyDescent="0.25">
      <c r="B38" s="431"/>
      <c r="C38" s="33" t="str">
        <f>Uebersetzung!$D$17</f>
        <v>Energiebezugsfläche EBF</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7">
        <f t="shared" si="6"/>
        <v>0</v>
      </c>
      <c r="Y38" s="148"/>
    </row>
    <row r="39" spans="2:27" s="4" customFormat="1" ht="18.75" customHeight="1" x14ac:dyDescent="0.25">
      <c r="B39" s="429" t="str">
        <f>Uebersetzung!$D$56&amp;" "&amp;6</f>
        <v>Zone 6</v>
      </c>
      <c r="C39" s="157" t="str">
        <f>Uebersetzung!$D$16</f>
        <v>Gebäudekategorie</v>
      </c>
      <c r="D39" s="54"/>
      <c r="E39" s="317"/>
      <c r="F39" s="317"/>
      <c r="G39" s="317"/>
      <c r="H39" s="317"/>
      <c r="I39" s="317"/>
      <c r="J39" s="317"/>
      <c r="K39" s="317"/>
      <c r="L39" s="317"/>
      <c r="M39" s="317"/>
      <c r="N39" s="317"/>
      <c r="O39" s="317"/>
      <c r="P39" s="317"/>
      <c r="Q39" s="317"/>
      <c r="R39" s="317"/>
      <c r="S39" s="317"/>
      <c r="T39" s="317"/>
      <c r="U39" s="317"/>
      <c r="V39" s="317"/>
      <c r="W39" s="317"/>
      <c r="X39" s="395"/>
      <c r="Y39" s="7"/>
      <c r="Z39" s="9"/>
      <c r="AA39" s="7"/>
    </row>
    <row r="40" spans="2:27" s="4" customFormat="1" ht="18.75" customHeight="1" x14ac:dyDescent="0.25">
      <c r="B40" s="430"/>
      <c r="C40" s="156" t="str">
        <f>Uebersetzung!$D$186&amp;" "&amp;Uebersetzung!$D$17</f>
        <v>Anteil Energiebezugsfläche EBF</v>
      </c>
      <c r="D40" s="72" t="s">
        <v>526</v>
      </c>
      <c r="E40" s="299"/>
      <c r="F40" s="299"/>
      <c r="G40" s="299"/>
      <c r="H40" s="299"/>
      <c r="I40" s="299"/>
      <c r="J40" s="299"/>
      <c r="K40" s="299"/>
      <c r="L40" s="299"/>
      <c r="M40" s="299"/>
      <c r="N40" s="299"/>
      <c r="O40" s="299"/>
      <c r="P40" s="299"/>
      <c r="Q40" s="299"/>
      <c r="R40" s="299"/>
      <c r="S40" s="299"/>
      <c r="T40" s="299"/>
      <c r="U40" s="299"/>
      <c r="V40" s="299"/>
      <c r="W40" s="299"/>
      <c r="X40" s="398"/>
      <c r="Y40" s="148"/>
      <c r="Z40" s="149"/>
      <c r="AA40" s="7"/>
    </row>
    <row r="41" spans="2:27" s="4" customFormat="1" ht="14.25" customHeight="1" x14ac:dyDescent="0.25">
      <c r="B41" s="431"/>
      <c r="C41" s="33" t="str">
        <f>Uebersetzung!$D$17</f>
        <v>Energiebezugsfläche EBF</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7">
        <f t="shared" si="7"/>
        <v>0</v>
      </c>
      <c r="Y41" s="148"/>
    </row>
    <row r="42" spans="2:27" s="150" customFormat="1" ht="37.35" customHeight="1" x14ac:dyDescent="0.2">
      <c r="B42" s="165"/>
      <c r="C42" s="158" t="str">
        <f>Uebersetzung!D133&amp;" ("&amp;Uebersetzung!D27&amp;")"</f>
        <v>C1.4 Nutzung solare Energie (Eigenstromerzeugung)</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1.95" customHeight="1" x14ac:dyDescent="0.25">
      <c r="C43" s="425" t="str">
        <f>Uebersetzung!D191</f>
        <v>Bauten im Schutzinventar: lässt kommunale Vorschrift PV-Anlage  zu?</v>
      </c>
      <c r="D43" s="426"/>
      <c r="E43" s="319"/>
      <c r="F43" s="319"/>
      <c r="G43" s="319"/>
      <c r="H43" s="319"/>
      <c r="I43" s="319"/>
      <c r="J43" s="319"/>
      <c r="K43" s="319"/>
      <c r="L43" s="319"/>
      <c r="M43" s="319"/>
      <c r="N43" s="319"/>
      <c r="O43" s="319"/>
      <c r="P43" s="319"/>
      <c r="Q43" s="319"/>
      <c r="R43" s="319"/>
      <c r="S43" s="319"/>
      <c r="T43" s="319"/>
      <c r="U43" s="319"/>
      <c r="V43" s="319"/>
      <c r="W43" s="319"/>
      <c r="X43" s="399"/>
      <c r="Y43" s="148"/>
      <c r="Z43" s="149"/>
      <c r="AA43" s="7"/>
    </row>
    <row r="44" spans="2:27" s="4" customFormat="1" ht="18.75" hidden="1" customHeight="1" x14ac:dyDescent="0.25">
      <c r="C44" s="305" t="str">
        <f>Uebersetzung!$D$36&amp;", "&amp;Uebersetzung!$D$40</f>
        <v>Installierte Leistung, Anforderung</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0" t="str">
        <f>IF(ISBLANK(X10),"",IF(AND(X18=Schutzinv,X43=PV_nicht_zugelassen),0,IF(X18=Neubau,Listen!$C$62*X15,Listen!$C$63*X15)))</f>
        <v/>
      </c>
      <c r="Y44" s="8"/>
      <c r="Z44" s="159">
        <f>SUM(E44:X44)</f>
        <v>0</v>
      </c>
      <c r="AA44" s="151" t="str">
        <f>Uebersetzung!D$38</f>
        <v>Summe</v>
      </c>
    </row>
    <row r="45" spans="2:27" s="4" customFormat="1" ht="18.75" customHeight="1" x14ac:dyDescent="0.25">
      <c r="C45" s="55" t="str">
        <f>Uebersetzung!D36&amp;", "&amp;Uebersetzung!D41</f>
        <v>Installierte Leistung, Projektwert</v>
      </c>
      <c r="D45" s="56" t="s">
        <v>9</v>
      </c>
      <c r="E45" s="320"/>
      <c r="F45" s="320"/>
      <c r="G45" s="320"/>
      <c r="H45" s="320"/>
      <c r="I45" s="320"/>
      <c r="J45" s="320"/>
      <c r="K45" s="320"/>
      <c r="L45" s="320"/>
      <c r="M45" s="320"/>
      <c r="N45" s="320"/>
      <c r="O45" s="320"/>
      <c r="P45" s="320"/>
      <c r="Q45" s="320"/>
      <c r="R45" s="320"/>
      <c r="S45" s="320"/>
      <c r="T45" s="320"/>
      <c r="U45" s="320"/>
      <c r="V45" s="320"/>
      <c r="W45" s="320"/>
      <c r="X45" s="401"/>
      <c r="Y45" s="8"/>
      <c r="Z45" s="160">
        <f>SUM(E45:X45)</f>
        <v>0</v>
      </c>
      <c r="AA45" s="154" t="str">
        <f>Uebersetzung!D$38</f>
        <v>Summe</v>
      </c>
    </row>
    <row r="46" spans="2:27" s="150" customFormat="1" ht="37.35" customHeight="1" x14ac:dyDescent="0.2">
      <c r="C46" s="158" t="str">
        <f>Uebersetzung!D134</f>
        <v>C2.1 Treibhausgasemissionen in der Erstellung</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
      <c r="C47" s="269" t="str">
        <f>Uebersetzung!D173</f>
        <v>Angaben zum Rückbau von Bestandesbauten</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25">
      <c r="B48" s="161"/>
      <c r="C48" s="268" t="str">
        <f>Uebersetzung!D122</f>
        <v>Wird ein Bestandesbau rückgebaut?</v>
      </c>
      <c r="D48" s="155"/>
      <c r="E48" s="323"/>
      <c r="F48" s="323"/>
      <c r="G48" s="323"/>
      <c r="H48" s="323"/>
      <c r="I48" s="323"/>
      <c r="J48" s="323"/>
      <c r="K48" s="323"/>
      <c r="L48" s="323"/>
      <c r="M48" s="323"/>
      <c r="N48" s="323"/>
      <c r="O48" s="323"/>
      <c r="P48" s="323"/>
      <c r="Q48" s="323"/>
      <c r="R48" s="323"/>
      <c r="S48" s="323"/>
      <c r="T48" s="323"/>
      <c r="U48" s="323"/>
      <c r="V48" s="323"/>
      <c r="W48" s="323"/>
      <c r="X48" s="402"/>
      <c r="Y48" s="148"/>
      <c r="Z48" s="149"/>
      <c r="AA48" s="7"/>
    </row>
    <row r="49" spans="2:27" s="4" customFormat="1" ht="18.75" customHeight="1" x14ac:dyDescent="0.25">
      <c r="B49" s="162"/>
      <c r="C49" s="206" t="str">
        <f>Uebersetzung!D107</f>
        <v>Gebäudekategorie (Hauptnutzung) des rückgebauten Gebäudes</v>
      </c>
      <c r="D49" s="59"/>
      <c r="E49" s="324"/>
      <c r="F49" s="324"/>
      <c r="G49" s="324"/>
      <c r="H49" s="324"/>
      <c r="I49" s="324"/>
      <c r="J49" s="324"/>
      <c r="K49" s="324"/>
      <c r="L49" s="324"/>
      <c r="M49" s="324"/>
      <c r="N49" s="324"/>
      <c r="O49" s="324"/>
      <c r="P49" s="324"/>
      <c r="Q49" s="324"/>
      <c r="R49" s="324"/>
      <c r="S49" s="324"/>
      <c r="T49" s="324"/>
      <c r="U49" s="324"/>
      <c r="V49" s="324"/>
      <c r="W49" s="324"/>
      <c r="X49" s="392"/>
      <c r="Y49" s="7"/>
      <c r="Z49" s="9"/>
      <c r="AA49" s="7"/>
    </row>
    <row r="50" spans="2:27" s="4" customFormat="1" ht="18.75" customHeight="1" x14ac:dyDescent="0.25">
      <c r="B50" s="162"/>
      <c r="C50" s="206" t="str">
        <f>Uebersetzung!D21</f>
        <v>EBF des rückgebauten Gebäudes</v>
      </c>
      <c r="D50" s="59" t="s">
        <v>4</v>
      </c>
      <c r="E50" s="44"/>
      <c r="F50" s="44"/>
      <c r="G50" s="44"/>
      <c r="H50" s="44"/>
      <c r="I50" s="44"/>
      <c r="J50" s="44"/>
      <c r="K50" s="44"/>
      <c r="L50" s="44"/>
      <c r="M50" s="44"/>
      <c r="N50" s="44"/>
      <c r="O50" s="44"/>
      <c r="P50" s="44"/>
      <c r="Q50" s="44"/>
      <c r="R50" s="44"/>
      <c r="S50" s="44"/>
      <c r="T50" s="44"/>
      <c r="U50" s="44"/>
      <c r="V50" s="44"/>
      <c r="W50" s="44"/>
      <c r="X50" s="388"/>
      <c r="Y50" s="148"/>
      <c r="Z50" s="149"/>
      <c r="AA50" s="7"/>
    </row>
    <row r="51" spans="2:27" s="4" customFormat="1" ht="18.75" customHeight="1" x14ac:dyDescent="0.25">
      <c r="B51" s="162"/>
      <c r="C51" s="223" t="str">
        <f>Uebersetzung!D22</f>
        <v>Alter des rückgebauten Gebäudes</v>
      </c>
      <c r="D51" s="56" t="s">
        <v>48</v>
      </c>
      <c r="E51" s="325"/>
      <c r="F51" s="325"/>
      <c r="G51" s="325"/>
      <c r="H51" s="325"/>
      <c r="I51" s="325"/>
      <c r="J51" s="325"/>
      <c r="K51" s="325"/>
      <c r="L51" s="325"/>
      <c r="M51" s="325"/>
      <c r="N51" s="325"/>
      <c r="O51" s="325"/>
      <c r="P51" s="325"/>
      <c r="Q51" s="325"/>
      <c r="R51" s="325"/>
      <c r="S51" s="325"/>
      <c r="T51" s="325"/>
      <c r="U51" s="325"/>
      <c r="V51" s="325"/>
      <c r="W51" s="325"/>
      <c r="X51" s="403"/>
      <c r="Y51" s="148"/>
      <c r="Z51" s="149"/>
      <c r="AA51" s="7"/>
    </row>
    <row r="52" spans="2:27" s="4" customFormat="1" ht="18.75" customHeight="1" x14ac:dyDescent="0.2">
      <c r="C52" s="39" t="str">
        <f>Uebersetzung!D174</f>
        <v>Angaben zum Neubau</v>
      </c>
      <c r="D52" s="222"/>
      <c r="E52" s="326"/>
      <c r="F52" s="326"/>
      <c r="G52" s="326"/>
      <c r="H52" s="326"/>
      <c r="I52" s="326"/>
      <c r="J52" s="326"/>
      <c r="K52" s="326"/>
      <c r="L52" s="326"/>
      <c r="M52" s="326"/>
      <c r="N52" s="326"/>
      <c r="O52" s="326"/>
      <c r="P52" s="326"/>
      <c r="Q52" s="326"/>
      <c r="R52" s="326"/>
      <c r="S52" s="326"/>
      <c r="T52" s="326"/>
      <c r="U52" s="326"/>
      <c r="V52" s="326"/>
      <c r="W52" s="326"/>
      <c r="X52" s="404"/>
      <c r="Y52" s="148"/>
      <c r="Z52" s="172"/>
      <c r="AA52" s="173"/>
    </row>
    <row r="53" spans="2:27" s="4" customFormat="1" ht="18.75" hidden="1" customHeight="1" x14ac:dyDescent="0.25">
      <c r="C53" s="197" t="str">
        <f>Uebersetzung!D26&amp;", "&amp;Uebersetzung!D40</f>
        <v>THGE Erstellung, Anforderung</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5" t="str">
        <f t="shared" si="9"/>
        <v>-</v>
      </c>
      <c r="Y53" s="8"/>
      <c r="Z53" s="372" t="e">
        <f>SUMPRODUCT(E53:X53,E80:X80)/Z80</f>
        <v>#DIV/0!</v>
      </c>
      <c r="AA53" s="349" t="str">
        <f>Uebersetzung!D$39</f>
        <v>Flächengewichter Durchschnitt</v>
      </c>
    </row>
    <row r="54" spans="2:27" s="4" customFormat="1" ht="18.75" customHeight="1" x14ac:dyDescent="0.25">
      <c r="C54" s="267" t="str">
        <f>Uebersetzung!D26&amp;", "&amp;Uebersetzung!D41</f>
        <v>THGE Erstellung, Projektwert</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Flächengewichter Durchschnitt</v>
      </c>
    </row>
    <row r="55" spans="2:27" s="150" customFormat="1" ht="37.35" customHeight="1" x14ac:dyDescent="0.2">
      <c r="C55" s="51" t="str">
        <f>Uebersetzung!D169&amp;" ("&amp;Uebersetzung!D76&amp;")"</f>
        <v>C1.1 Betriebsenergie (Wärmeerzeugung)</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25">
      <c r="C56" s="53" t="str">
        <f>Uebersetzung!D76&amp;" 1"</f>
        <v>Wärmeerzeugung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25">
      <c r="C57" s="286" t="str">
        <f>Uebersetzung!D76&amp;" 2"</f>
        <v>Wärmeerzeugung 2</v>
      </c>
      <c r="D57" s="59"/>
      <c r="E57" s="331"/>
      <c r="F57" s="331"/>
      <c r="G57" s="331"/>
      <c r="H57" s="331"/>
      <c r="I57" s="331"/>
      <c r="J57" s="331"/>
      <c r="K57" s="331"/>
      <c r="L57" s="331"/>
      <c r="M57" s="331"/>
      <c r="N57" s="331"/>
      <c r="O57" s="331"/>
      <c r="P57" s="331"/>
      <c r="Q57" s="331"/>
      <c r="R57" s="331"/>
      <c r="S57" s="331"/>
      <c r="T57" s="331"/>
      <c r="U57" s="331"/>
      <c r="V57" s="331"/>
      <c r="W57" s="331"/>
      <c r="X57" s="406"/>
      <c r="Y57" s="8"/>
      <c r="Z57" s="175"/>
      <c r="AA57" s="7"/>
    </row>
    <row r="58" spans="2:27" s="4" customFormat="1" ht="18.75" customHeight="1" x14ac:dyDescent="0.25">
      <c r="C58" s="286" t="str">
        <f>Uebersetzung!D76&amp;" 3"</f>
        <v>Wärmeerzeugung 3</v>
      </c>
      <c r="D58" s="59"/>
      <c r="E58" s="331"/>
      <c r="F58" s="331"/>
      <c r="G58" s="331"/>
      <c r="H58" s="331"/>
      <c r="I58" s="331"/>
      <c r="J58" s="331"/>
      <c r="K58" s="331"/>
      <c r="L58" s="331"/>
      <c r="M58" s="331"/>
      <c r="N58" s="331"/>
      <c r="O58" s="331"/>
      <c r="P58" s="331"/>
      <c r="Q58" s="331"/>
      <c r="R58" s="331"/>
      <c r="S58" s="331"/>
      <c r="T58" s="331"/>
      <c r="U58" s="331"/>
      <c r="V58" s="331"/>
      <c r="W58" s="331"/>
      <c r="X58" s="406"/>
      <c r="Y58" s="8"/>
      <c r="Z58" s="175"/>
      <c r="AA58" s="7"/>
    </row>
    <row r="59" spans="2:27" s="4" customFormat="1" ht="18.75" customHeight="1" x14ac:dyDescent="0.25">
      <c r="C59" s="286" t="str">
        <f>Uebersetzung!D76&amp;" "&amp;Uebersetzung!D187</f>
        <v>Wärmeerzeugung Spitzenlast</v>
      </c>
      <c r="D59" s="59"/>
      <c r="E59" s="331"/>
      <c r="F59" s="331"/>
      <c r="G59" s="331"/>
      <c r="H59" s="331"/>
      <c r="I59" s="331"/>
      <c r="J59" s="331"/>
      <c r="K59" s="331"/>
      <c r="L59" s="331"/>
      <c r="M59" s="331"/>
      <c r="N59" s="331"/>
      <c r="O59" s="331"/>
      <c r="P59" s="331"/>
      <c r="Q59" s="331"/>
      <c r="R59" s="331"/>
      <c r="S59" s="331"/>
      <c r="T59" s="331"/>
      <c r="U59" s="331"/>
      <c r="V59" s="331"/>
      <c r="W59" s="331"/>
      <c r="X59" s="406"/>
      <c r="Y59" s="8"/>
      <c r="Z59" s="175"/>
      <c r="AA59" s="7"/>
    </row>
    <row r="60" spans="2:27" s="4" customFormat="1" ht="18.75" customHeight="1" x14ac:dyDescent="0.25">
      <c r="C60" s="55" t="str">
        <f>Uebersetzung!D113</f>
        <v>Fläche thermische Solarkollektoren</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Summe</v>
      </c>
    </row>
    <row r="61" spans="2:27" s="150" customFormat="1" ht="37.35" customHeight="1" x14ac:dyDescent="0.2">
      <c r="C61" s="427" t="str">
        <f>Uebersetzung!D23</f>
        <v>Kompensation von Kennzahlen bei Neubauten und Erneuerungen nach Minergie</v>
      </c>
      <c r="D61" s="427"/>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25">
      <c r="C62" s="312" t="str">
        <f>Uebersetzung!D126</f>
        <v>Werden Qh und MKZ zwischen Minergie-Gebäuden kompensiert?</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25">
      <c r="C63" s="305" t="str">
        <f>Uebersetzung!D24&amp;", "&amp;Uebersetzung!D40</f>
        <v>Minergie-Kennzahl (MKZ), Anforderung</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Flächengewichter Durchschnitt</v>
      </c>
    </row>
    <row r="64" spans="2:27" s="4" customFormat="1" ht="18.75" customHeight="1" x14ac:dyDescent="0.25">
      <c r="C64" s="55" t="str">
        <f>Uebersetzung!D24&amp;", "&amp;Uebersetzung!D41</f>
        <v>Minergie-Kennzahl (MKZ), Projektwert</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Flächengewichter Durchschnitt</v>
      </c>
    </row>
    <row r="65" spans="3:27" s="4" customFormat="1" ht="18.75" customHeight="1" x14ac:dyDescent="0.25">
      <c r="C65" s="53" t="str">
        <f>Uebersetzung!D25&amp;", "&amp;Uebersetzung!D40</f>
        <v>Heizwärmebedarf (Qh), Anforderung</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Flächengewichter Durchschnitt</v>
      </c>
    </row>
    <row r="66" spans="3:27" s="4" customFormat="1" ht="18.75" customHeight="1" x14ac:dyDescent="0.25">
      <c r="C66" s="55" t="str">
        <f>Uebersetzung!D25&amp;", "&amp;Uebersetzung!D41</f>
        <v>Heizwärmebedarf (Qh), Projektwert</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Flächengewichter Durchschnitt</v>
      </c>
    </row>
    <row r="67" spans="3:27" s="4" customFormat="1" ht="16.5" customHeight="1" x14ac:dyDescent="0.2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099999999999994" customHeight="1" x14ac:dyDescent="0.25">
      <c r="C68" s="262" t="str">
        <f>Uebersetzung!D170</f>
        <v>Kommentare / Bemerkungen</v>
      </c>
      <c r="D68" s="263"/>
      <c r="E68" s="407"/>
      <c r="F68" s="407"/>
      <c r="G68" s="407"/>
      <c r="H68" s="407"/>
      <c r="I68" s="407"/>
      <c r="J68" s="407"/>
      <c r="K68" s="407"/>
      <c r="L68" s="407"/>
      <c r="M68" s="407"/>
      <c r="N68" s="407"/>
      <c r="O68" s="407"/>
      <c r="P68" s="407"/>
      <c r="Q68" s="407"/>
      <c r="R68" s="407"/>
      <c r="S68" s="407"/>
      <c r="T68" s="407"/>
      <c r="U68" s="407"/>
      <c r="V68" s="407"/>
      <c r="W68" s="407"/>
      <c r="X68" s="408"/>
      <c r="Z68" s="260"/>
    </row>
    <row r="69" spans="3:27" s="75" customFormat="1" ht="28.5" customHeight="1" x14ac:dyDescent="0.2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85" hidden="1" customHeight="1" x14ac:dyDescent="0.25">
      <c r="C70" s="80" t="str">
        <f>Uebersetzung!D158</f>
        <v>Berechnungen</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75" hidden="1" thickBot="1" x14ac:dyDescent="0.3">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
      <c r="C72" s="96" t="str">
        <f>Uebersetzung!$D$26&amp;" "&amp;Uebersetzung!D40</f>
        <v>THGE Erstellung Anforderung</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50000000000001" hidden="1" customHeight="1" x14ac:dyDescent="0.2">
      <c r="C73" s="99" t="str">
        <f>Uebersetzung!$D$159&amp;" "&amp;Uebersetzung!$D$109</f>
        <v>EBF Neubau</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25">
      <c r="C74" s="101" t="str">
        <f>Uebersetzung!$D$56&amp;" "&amp;1</f>
        <v>Zone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25">
      <c r="C75" s="103" t="str">
        <f>Uebersetzung!$D$56&amp;" "&amp;2</f>
        <v>Zone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25">
      <c r="C76" s="103" t="str">
        <f>Uebersetzung!$D$56&amp;" "&amp;3</f>
        <v>Zone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25">
      <c r="C77" s="103" t="str">
        <f>Uebersetzung!$D$56&amp;" "&amp;4</f>
        <v>Zone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25">
      <c r="C78" s="103" t="str">
        <f>Uebersetzung!$D$56&amp;" "&amp;5</f>
        <v>Zone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25">
      <c r="C79" s="103" t="str">
        <f>Uebersetzung!$D$56&amp;" "&amp;6</f>
        <v>Zone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25">
      <c r="C80" s="105" t="str">
        <f>Uebersetzung!$D$159&amp;" "&amp;Uebersetzung!$D$109&amp;" "&amp;Uebersetzung!D118</f>
        <v>EBF Neubau total</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Summe</v>
      </c>
    </row>
    <row r="81" spans="3:27" s="75" customFormat="1" ht="19.350000000000001" hidden="1" customHeight="1" x14ac:dyDescent="0.2">
      <c r="C81" s="99" t="str">
        <f>Uebersetzung!$D$40&amp;" "&amp;Uebersetzung!$D$155&amp;" ("&amp;Uebersetzung!D160&amp;")"</f>
        <v>Anforderung kalt (GF - EBF)</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25">
      <c r="C82" s="101" t="str">
        <f>$C$74</f>
        <v>Zone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25">
      <c r="C83" s="103" t="str">
        <f>$C$75</f>
        <v>Zone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25">
      <c r="C84" s="103" t="str">
        <f>$C$76</f>
        <v>Zone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25">
      <c r="C85" s="103" t="str">
        <f>$C$77</f>
        <v>Zone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25">
      <c r="C86" s="103" t="str">
        <f>$C$78</f>
        <v>Zone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25">
      <c r="C87" s="103" t="str">
        <f>$C$79</f>
        <v>Zone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25">
      <c r="C88" s="105" t="str">
        <f>Uebersetzung!$D$40&amp;" "&amp;Uebersetzung!$D$155&amp;" "</f>
        <v xml:space="preserve">Anforderung kalt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Summe</v>
      </c>
    </row>
    <row r="89" spans="3:27" s="75" customFormat="1" ht="19.350000000000001" hidden="1" customHeight="1" x14ac:dyDescent="0.2">
      <c r="C89" s="99" t="str">
        <f>Uebersetzung!$D$40&amp;" "&amp;Uebersetzung!$D$154&amp;" ("&amp;Uebersetzung!D159&amp;")"</f>
        <v>Anforderung warm (EBF)</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25">
      <c r="C90" s="101" t="str">
        <f>$C$74</f>
        <v>Zone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25">
      <c r="C91" s="103" t="str">
        <f>$C$75</f>
        <v>Zone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25">
      <c r="C92" s="103" t="str">
        <f>$C$76</f>
        <v>Zone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25">
      <c r="C93" s="103" t="str">
        <f>$C$77</f>
        <v>Zone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25">
      <c r="C94" s="103" t="str">
        <f>$C$78</f>
        <v>Zone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25">
      <c r="C95" s="103" t="str">
        <f>$C$79</f>
        <v>Zone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25">
      <c r="C96" s="105" t="str">
        <f>Uebersetzung!$D$40&amp;" "&amp;Uebersetzung!$D$154&amp;" "</f>
        <v xml:space="preserve">Anforderung warm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50000000000001" hidden="1" customHeight="1" x14ac:dyDescent="0.2">
      <c r="C97" s="99" t="str">
        <f>Uebersetzung!D121&amp;" "&amp;Uebersetzung!D115&amp;" / "&amp;Uebersetzung!D116</f>
        <v>Zuschlag PV-Anlage / Thermische Solarkollektoren</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25">
      <c r="C98" s="101" t="str">
        <f>$C$74</f>
        <v>Zone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25">
      <c r="C99" s="103" t="str">
        <f>$C$75</f>
        <v>Zone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25">
      <c r="C100" s="103" t="str">
        <f>$C$76</f>
        <v>Zone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25">
      <c r="C101" s="103" t="str">
        <f>$C$77</f>
        <v>Zone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25">
      <c r="C102" s="103" t="str">
        <f>$C$78</f>
        <v>Zone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25">
      <c r="C103" s="103" t="str">
        <f>$C$79</f>
        <v>Zone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25">
      <c r="C104" s="105" t="str">
        <f>C97</f>
        <v>Zuschlag PV-Anlage / Thermische Solarkollektoren</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50000000000001" hidden="1" customHeight="1" x14ac:dyDescent="0.2">
      <c r="C105" s="99" t="str">
        <f>Uebersetzung!D121&amp;" "&amp;Uebersetzung!D117&amp;" / "&amp;Uebersetzung!D35</f>
        <v>Zuschlag Erdsonde / Abschlag Rückbau</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25">
      <c r="C106" s="101" t="str">
        <f>$C$74</f>
        <v>Zone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25">
      <c r="C107" s="103" t="str">
        <f>$C$75</f>
        <v>Zone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25">
      <c r="C108" s="103" t="str">
        <f>$C$76</f>
        <v>Zone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25">
      <c r="C109" s="103" t="str">
        <f>$C$77</f>
        <v>Zone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25">
      <c r="C110" s="103" t="str">
        <f>$C$78</f>
        <v>Zone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25">
      <c r="C111" s="103" t="str">
        <f>$C$79</f>
        <v>Zone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25">
      <c r="C112" s="105" t="str">
        <f>C105</f>
        <v>Zuschlag Erdsonde / Abschlag Rückbau</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
      <c r="C113" s="99" t="str">
        <f>Uebersetzung!D114</f>
        <v>Zuschläge und Abschläge ganzes Gebäude</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25">
      <c r="C114" s="103" t="str">
        <f>Uebersetzung!D115</f>
        <v>PV-Anlage</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25">
      <c r="C115" s="103" t="str">
        <f>Uebersetzung!D116</f>
        <v>Thermische Solarkollektoren</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25">
      <c r="C116" s="103" t="str">
        <f>Uebersetzung!D117</f>
        <v>Erdsonde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25">
      <c r="C117" s="249" t="str">
        <f>Uebersetzung!D35</f>
        <v>Abschlag Rückbau</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35" hidden="1" customHeight="1" x14ac:dyDescent="0.2">
      <c r="C118" s="253" t="str">
        <f>Uebersetzung!D26&amp;", "&amp;Uebersetzung!D40</f>
        <v>THGE Erstellung, Anforderung</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25">
      <c r="C119" s="101" t="str">
        <f>$C$74</f>
        <v>Zone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25">
      <c r="C120" s="103" t="str">
        <f>$C$75</f>
        <v>Zone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25">
      <c r="C121" s="103" t="str">
        <f>$C$76</f>
        <v>Zone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25">
      <c r="C122" s="103" t="str">
        <f>$C$77</f>
        <v>Zone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25">
      <c r="C123" s="103" t="str">
        <f>$C$78</f>
        <v>Zone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25">
      <c r="C124" s="103" t="str">
        <f>$C$79</f>
        <v>Zone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75" hidden="1" thickBot="1" x14ac:dyDescent="0.3">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
      <c r="C126" s="111" t="str">
        <f>Uebersetzung!D142&amp;": "&amp;Uebersetzung!D124</f>
        <v>Kompensation: Berücksichtigte EBF</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25">
      <c r="C127" s="83" t="str">
        <f>Uebersetzung!D24</f>
        <v>Minergie-Kennzahl (MKZ)</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Summe</v>
      </c>
    </row>
    <row r="128" spans="3:27" s="75" customFormat="1" ht="16.350000000000001" hidden="1" customHeight="1" x14ac:dyDescent="0.25">
      <c r="C128" s="85" t="str">
        <f>Uebersetzung!D25</f>
        <v>Heizwärmebedarf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Summe</v>
      </c>
    </row>
    <row r="129" spans="3:27" s="75" customFormat="1" ht="13.5" hidden="1" x14ac:dyDescent="0.25">
      <c r="C129" s="93" t="str">
        <f>Uebersetzung!D25&amp;" "&amp;Uebersetzung!D29</f>
        <v>Heizwärmebedarf (Qh) Minergie-P(-ECO)-Gebäude</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Summe</v>
      </c>
    </row>
    <row r="130" spans="3:27" hidden="1" x14ac:dyDescent="0.2">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
      <c r="C131" s="111" t="str">
        <f>Uebersetzung!D76&amp;" "&amp;Uebersetzung!D97</f>
        <v>Wärmeerzeugung erneuerbar</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25">
      <c r="C132" s="83" t="str">
        <f>C56</f>
        <v>Wärmeerzeugung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25">
      <c r="C133" s="85" t="str">
        <f>C57</f>
        <v>Wärmeerzeugung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25">
      <c r="C134" s="85" t="str">
        <f>C58</f>
        <v>Wärmeerzeugung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2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Summe</v>
      </c>
    </row>
    <row r="136" spans="3:27" s="75" customFormat="1" hidden="1" x14ac:dyDescent="0.25">
      <c r="C136" s="93" t="str">
        <f>Uebersetzung!$D$139</f>
        <v>Fehlende Eingabe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Fehlende Eingabe</v>
      </c>
    </row>
    <row r="137" spans="3:27" hidden="1" x14ac:dyDescent="0.2">
      <c r="Z137" s="303"/>
      <c r="AA137" s="124"/>
    </row>
    <row r="138" spans="3:27" ht="13.5" hidden="1" x14ac:dyDescent="0.2">
      <c r="C138" s="365" t="str">
        <f>Uebersetzung!D159&amp;" "&amp;Uebersetzung!D200</f>
        <v>EBF Bestandesbau</v>
      </c>
      <c r="D138" s="366" t="s">
        <v>146</v>
      </c>
      <c r="E138" s="359">
        <f t="shared" ref="E138:X138" si="74">IF(E16=Bestandesbau,E15,0)</f>
        <v>0</v>
      </c>
      <c r="F138" s="359">
        <f t="shared" si="74"/>
        <v>0</v>
      </c>
      <c r="G138" s="359">
        <f t="shared" si="74"/>
        <v>0</v>
      </c>
      <c r="H138" s="359">
        <f t="shared" si="74"/>
        <v>0</v>
      </c>
      <c r="I138" s="359">
        <f t="shared" si="74"/>
        <v>0</v>
      </c>
      <c r="J138" s="359">
        <f t="shared" si="74"/>
        <v>0</v>
      </c>
      <c r="K138" s="359">
        <f t="shared" si="74"/>
        <v>0</v>
      </c>
      <c r="L138" s="359">
        <f t="shared" si="74"/>
        <v>0</v>
      </c>
      <c r="M138" s="359">
        <f t="shared" si="74"/>
        <v>0</v>
      </c>
      <c r="N138" s="359">
        <f t="shared" si="74"/>
        <v>0</v>
      </c>
      <c r="O138" s="359">
        <f t="shared" si="74"/>
        <v>0</v>
      </c>
      <c r="P138" s="359">
        <f t="shared" si="74"/>
        <v>0</v>
      </c>
      <c r="Q138" s="359">
        <f t="shared" si="74"/>
        <v>0</v>
      </c>
      <c r="R138" s="359">
        <f t="shared" si="74"/>
        <v>0</v>
      </c>
      <c r="S138" s="359">
        <f t="shared" si="74"/>
        <v>0</v>
      </c>
      <c r="T138" s="359">
        <f t="shared" si="74"/>
        <v>0</v>
      </c>
      <c r="U138" s="359">
        <f t="shared" si="74"/>
        <v>0</v>
      </c>
      <c r="V138" s="359">
        <f t="shared" si="74"/>
        <v>0</v>
      </c>
      <c r="W138" s="359">
        <f t="shared" si="74"/>
        <v>0</v>
      </c>
      <c r="X138" s="360">
        <f t="shared" si="74"/>
        <v>0</v>
      </c>
    </row>
    <row r="139" spans="3:27" hidden="1" x14ac:dyDescent="0.2">
      <c r="C139" s="364"/>
      <c r="D139" s="77"/>
    </row>
    <row r="140" spans="3:27" s="361" customFormat="1" hidden="1" x14ac:dyDescent="0.2">
      <c r="C140" s="362" t="str">
        <f>Uebersetzung!D175</f>
        <v>Energiebezugsflächen EBF nach Gebäudekategorie</v>
      </c>
      <c r="E140" s="363"/>
      <c r="F140" s="363"/>
      <c r="G140" s="363"/>
      <c r="H140" s="363"/>
      <c r="I140" s="363"/>
      <c r="J140" s="363"/>
      <c r="K140" s="363"/>
      <c r="L140" s="363"/>
      <c r="M140" s="363"/>
      <c r="N140" s="363"/>
      <c r="O140" s="363"/>
      <c r="P140" s="363"/>
      <c r="Q140" s="363"/>
      <c r="R140" s="363"/>
      <c r="S140" s="363"/>
      <c r="T140" s="363"/>
      <c r="U140" s="363"/>
      <c r="V140" s="363"/>
      <c r="W140" s="363"/>
      <c r="X140" s="363"/>
      <c r="Y140" s="363"/>
      <c r="Z140" s="369"/>
      <c r="AA140" s="370"/>
    </row>
    <row r="141" spans="3:27" s="18" customFormat="1" hidden="1" x14ac:dyDescent="0.2">
      <c r="C141" s="358" t="str">
        <f>Uebersetzung!D159&amp;" "&amp;Uebersetzung!D109</f>
        <v>EBF Neubau</v>
      </c>
      <c r="D141" s="343"/>
      <c r="E141" s="278" t="str">
        <f>C74</f>
        <v>Zone 1</v>
      </c>
      <c r="F141" s="278" t="str">
        <f>C75</f>
        <v>Zone 2</v>
      </c>
      <c r="G141" s="278" t="str">
        <f>C76</f>
        <v>Zone 3</v>
      </c>
      <c r="H141" s="278" t="str">
        <f>C77</f>
        <v>Zone 4</v>
      </c>
      <c r="I141" s="278" t="str">
        <f>C78</f>
        <v>Zone 5</v>
      </c>
      <c r="J141" s="279" t="str">
        <f>C79</f>
        <v>Zone 6</v>
      </c>
      <c r="K141" s="344" t="str">
        <f>C80</f>
        <v>EBF Neubau total</v>
      </c>
      <c r="L141" s="344" t="str">
        <f>C138</f>
        <v>EBF Bestandesbau</v>
      </c>
      <c r="M141" s="367" t="str">
        <f>Uebersetzung!D159&amp;" "&amp;Uebersetzung!D118</f>
        <v>EBF total</v>
      </c>
      <c r="O141" s="345"/>
      <c r="P141" s="345"/>
      <c r="Q141" s="345"/>
      <c r="R141" s="345"/>
      <c r="S141" s="345"/>
      <c r="T141" s="345"/>
      <c r="U141" s="345"/>
      <c r="V141" s="345"/>
      <c r="W141" s="345"/>
      <c r="X141" s="345"/>
      <c r="Y141" s="345"/>
      <c r="Z141" s="371"/>
      <c r="AA141" s="76"/>
    </row>
    <row r="142" spans="3:27" s="75" customFormat="1" ht="13.5" hidden="1" x14ac:dyDescent="0.25">
      <c r="C142" s="85" t="str">
        <f>Listen!B2</f>
        <v>Wohnen MFH</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25">
      <c r="C143" s="85" t="str">
        <f>Listen!B3</f>
        <v>Wohnen EFH</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25">
      <c r="C144" s="85" t="str">
        <f>Listen!B4</f>
        <v>Verwaltung</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25">
      <c r="C145" s="85" t="str">
        <f>Listen!B5</f>
        <v xml:space="preserve">Schulen </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25">
      <c r="C146" s="85" t="str">
        <f>Listen!B6</f>
        <v>Verkauf</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25">
      <c r="C147" s="85" t="str">
        <f>Listen!B7</f>
        <v>Restaurant</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25">
      <c r="C148" s="85" t="str">
        <f>Listen!B8</f>
        <v>Versammlung</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25">
      <c r="C149" s="85" t="str">
        <f>Listen!B9</f>
        <v>Spitäler</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2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25">
      <c r="C151" s="85" t="str">
        <f>Listen!B11</f>
        <v>Lager</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25">
      <c r="C152" s="85" t="str">
        <f>Listen!B12</f>
        <v>Sportbauten</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25">
      <c r="C153" s="93" t="str">
        <f>Listen!B13</f>
        <v>Hallenbäder</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68">
        <f t="shared" si="75"/>
        <v>0</v>
      </c>
      <c r="O153" s="74"/>
      <c r="P153" s="74"/>
      <c r="Q153" s="74"/>
      <c r="R153" s="74"/>
      <c r="S153" s="74"/>
      <c r="T153" s="74"/>
      <c r="U153" s="74"/>
      <c r="V153" s="74"/>
      <c r="W153" s="74"/>
      <c r="X153" s="74"/>
      <c r="Y153" s="77"/>
      <c r="Z153" s="78"/>
      <c r="AA153" s="79"/>
    </row>
    <row r="154" spans="3:27" hidden="1" x14ac:dyDescent="0.2">
      <c r="M154" s="385">
        <f>SUM(M142:M153)</f>
        <v>0</v>
      </c>
    </row>
  </sheetData>
  <sheetProtection algorithmName="SHA-512" hashValue="sLz1Y4Ia4cdFzb1rgCc8/BlpzRPHKY+TwoLagWyFERDuG/NUUufM2zU2vanjYUnh3n34K4mOL8HgXZUSx7T5lg==" saltValue="nTmJNv+N5aSqtJ4l9goJj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Normal="100" zoomScalePageLayoutView="85" workbookViewId="0">
      <selection activeCell="B4" sqref="B4"/>
    </sheetView>
  </sheetViews>
  <sheetFormatPr baseColWidth="10" defaultColWidth="10.85546875" defaultRowHeight="12" x14ac:dyDescent="0.2"/>
  <cols>
    <col min="1" max="1" width="4.140625" style="1" customWidth="1"/>
    <col min="2" max="2" width="65.85546875" style="1" customWidth="1"/>
    <col min="3" max="3" width="16.5703125" style="3" customWidth="1"/>
    <col min="4" max="4" width="2" style="3" customWidth="1"/>
    <col min="5" max="5" width="14.85546875" style="1" customWidth="1"/>
    <col min="6" max="6" width="15.5703125" style="1" customWidth="1"/>
    <col min="7" max="7" width="15.5703125" style="1" bestFit="1" customWidth="1"/>
    <col min="8" max="12" width="10.85546875" style="1"/>
    <col min="13" max="13" width="10.140625" style="1" customWidth="1"/>
    <col min="14" max="16384" width="10.85546875" style="1"/>
  </cols>
  <sheetData>
    <row r="1" spans="2:17" x14ac:dyDescent="0.2">
      <c r="C1" s="1"/>
      <c r="D1" s="1"/>
      <c r="E1" s="3"/>
      <c r="F1" s="3"/>
      <c r="G1" s="3"/>
      <c r="H1" s="3"/>
      <c r="I1" s="3"/>
      <c r="J1" s="3"/>
      <c r="K1" s="3"/>
      <c r="L1" s="3"/>
      <c r="M1" s="3"/>
      <c r="N1" s="3"/>
      <c r="O1" s="3"/>
      <c r="P1" s="9"/>
      <c r="Q1" s="7"/>
    </row>
    <row r="2" spans="2:17" ht="54" customHeight="1" x14ac:dyDescent="0.2">
      <c r="B2" s="11"/>
      <c r="C2" s="315" t="str">
        <f>Uebersetzung!D72</f>
        <v>Übersicht</v>
      </c>
      <c r="D2" s="315"/>
      <c r="E2" s="428" t="str">
        <f>Uebersetzung!D4</f>
        <v>Hilfstool zu Vorgaben A1.1, C1.1, C1.4 und C2.1</v>
      </c>
      <c r="F2" s="428"/>
      <c r="G2" s="13" t="str">
        <f>Uebersetzung!D11&amp;" "&amp;Uebersetzung!C2&amp;"."&amp;Uebersetzung!A2</f>
        <v>Version 2025.1</v>
      </c>
      <c r="I2" s="3"/>
      <c r="J2" s="3"/>
      <c r="K2" s="3"/>
      <c r="L2" s="3"/>
      <c r="M2" s="3"/>
      <c r="N2" s="3"/>
      <c r="O2" s="3"/>
      <c r="P2" s="9"/>
      <c r="Q2" s="7"/>
    </row>
    <row r="3" spans="2:17" ht="16.5" customHeight="1" x14ac:dyDescent="0.2">
      <c r="C3" s="5"/>
      <c r="D3" s="5"/>
      <c r="E3" s="10"/>
      <c r="F3" s="10"/>
      <c r="G3" s="3"/>
      <c r="H3" s="14"/>
      <c r="I3" s="3"/>
      <c r="J3" s="3"/>
      <c r="K3" s="3"/>
      <c r="L3" s="3"/>
      <c r="M3" s="3"/>
      <c r="N3" s="3"/>
      <c r="O3" s="3"/>
      <c r="P3" s="9"/>
      <c r="Q3" s="7"/>
    </row>
    <row r="4" spans="2:17" ht="30" customHeight="1" x14ac:dyDescent="0.2">
      <c r="B4" s="2" t="str">
        <f>Uebersetzung!D136</f>
        <v>Erfüllung der Anforderungen Minergie-Areal Themen  A und C</v>
      </c>
    </row>
    <row r="5" spans="2:17" ht="22.5" customHeight="1" x14ac:dyDescent="0.2">
      <c r="B5" s="191" t="str">
        <f>Uebersetzung!D140</f>
        <v>Pflichtvorgaben Minergie-Areal</v>
      </c>
      <c r="D5" s="437" t="str">
        <f>Uebersetzung!D40</f>
        <v>Anforderung</v>
      </c>
      <c r="E5" s="438"/>
      <c r="F5" s="192" t="str">
        <f>Uebersetzung!D41</f>
        <v>Projektwert</v>
      </c>
      <c r="G5" s="193" t="str">
        <f>Uebersetzung!D73</f>
        <v>Erfüllt?</v>
      </c>
    </row>
    <row r="6" spans="2:17" ht="22.5" customHeight="1" x14ac:dyDescent="0.2">
      <c r="B6" s="194" t="str">
        <f>Uebersetzung!D168</f>
        <v>A1.1 Zertifizierung nach Minergie (-P/-A/-ECO)</v>
      </c>
      <c r="C6" s="231"/>
      <c r="D6" s="195"/>
      <c r="E6" s="195"/>
      <c r="F6" s="195"/>
      <c r="G6" s="196"/>
    </row>
    <row r="7" spans="2:17" ht="22.5" customHeight="1" x14ac:dyDescent="0.2">
      <c r="B7" s="440" t="str">
        <f>Uebersetzung!D157&amp;": "&amp;Uebersetzung!D70</f>
        <v>Bestandesbauten: Erneuerung nach GEAK A/B/C oder SNBS</v>
      </c>
      <c r="C7" s="441"/>
      <c r="D7" s="198" t="s">
        <v>33</v>
      </c>
      <c r="E7" s="199">
        <v>0.2</v>
      </c>
      <c r="F7" s="200" t="str">
        <f>IFERROR(SUMIF(AusnahmeAreal,GEAK_SNBS,EBFAreal)/$F$22,Uebersetzung!D139)</f>
        <v>Fehlende Eingabe</v>
      </c>
      <c r="G7" s="445" t="str">
        <f>IF(COUNTA(Eingabe!E10:X10)=0,"-",IF(AND(OR(F7&lt;=E7,SUM(F7:F8)&lt;=SUM(E7:E8)),F8&lt;=E8),Uebersetzung!D$110,Uebersetzung!D$111))</f>
        <v>-</v>
      </c>
    </row>
    <row r="8" spans="2:17" ht="22.5" customHeight="1" x14ac:dyDescent="0.2">
      <c r="B8" s="202" t="str">
        <f>Uebersetzung!D157&amp;": "&amp;WeitereAusnahmen</f>
        <v>Bestandesbauten: Keine Erneuerung (ohne Grund)</v>
      </c>
      <c r="C8" s="72"/>
      <c r="D8" s="203" t="s">
        <v>33</v>
      </c>
      <c r="E8" s="204">
        <v>0.1</v>
      </c>
      <c r="F8" s="205" t="str">
        <f>IFERROR(SUMIF(AusnahmeAreal,WeitereAusnahmen,EBFAreal)/$F$22,Uebersetzung!D139)</f>
        <v>Fehlende Eingabe</v>
      </c>
      <c r="G8" s="446"/>
    </row>
    <row r="9" spans="2:17" s="4" customFormat="1" ht="22.5" customHeight="1" x14ac:dyDescent="0.25">
      <c r="B9" s="206" t="str">
        <f>Uebersetzung!D126</f>
        <v>Werden Qh und MKZ zwischen Minergie-Gebäuden kompensiert?</v>
      </c>
      <c r="C9" s="207" t="str">
        <f>IF(ISBLANK(Eingabe!D62),"-",Eingabe!D62)</f>
        <v>-</v>
      </c>
      <c r="D9" s="208"/>
      <c r="E9" s="209"/>
      <c r="F9" s="209"/>
      <c r="G9" s="210"/>
    </row>
    <row r="10" spans="2:17" s="4" customFormat="1" ht="22.5" customHeight="1" x14ac:dyDescent="0.25">
      <c r="B10" s="211" t="str">
        <f>Uebersetzung!D108&amp;" "&amp;Uebersetzung!D24&amp;" "&amp;Uebersetzung!D171</f>
        <v>Mittlere Minergie-Kennzahl (MKZ) aller Neubauten und Erneuerungen</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25">
      <c r="B11" s="211" t="str">
        <f>Uebersetzung!D102&amp;" "&amp;Uebersetzung!D25&amp;" "&amp;Uebersetzung!D172</f>
        <v>Mittlerer Heizwärmebedarf (Qh) aller Neubauten</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25">
      <c r="B12" s="215" t="str">
        <f>Uebersetzung!D102&amp;" "&amp;Uebersetzung!D25&amp;" "&amp;Uebersetzung!D29</f>
        <v>Mittlerer Heizwärmebedarf (Qh) Minergie-P(-ECO)-Gebäude</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Keine Minergie-P(-ECO)-Gebäude</v>
      </c>
    </row>
    <row r="13" spans="2:17" ht="22.5" customHeight="1" x14ac:dyDescent="0.2">
      <c r="B13" s="221" t="str">
        <f>Uebersetzung!D169</f>
        <v>C1.1 Betriebsenergie</v>
      </c>
      <c r="C13" s="222"/>
      <c r="D13" s="57"/>
      <c r="E13" s="380"/>
      <c r="F13" s="380"/>
      <c r="G13" s="381"/>
    </row>
    <row r="14" spans="2:17" s="4" customFormat="1" ht="22.5" customHeight="1" x14ac:dyDescent="0.25">
      <c r="B14" s="223" t="str">
        <f>Uebersetzung!D99</f>
        <v>Haben alle Gebäude eine erneuerbare Wärmeerzeugung (ohne Spitzenlast)?</v>
      </c>
      <c r="C14" s="56"/>
      <c r="D14" s="224"/>
      <c r="E14" s="225" t="str">
        <f>Uebersetzung!D97</f>
        <v>erneuerbar</v>
      </c>
      <c r="F14" s="226" t="str">
        <f>IF(Eingabe!$Z$136&gt;0,Uebersetzung!D139,IF(Eingabe!Z135&gt;0,Uebersetzung!D101,Uebersetzung!D97))</f>
        <v>erneuerbar</v>
      </c>
      <c r="G14" s="227" t="str">
        <f>IF(COUNTA(Eingabe!E10:X10)=0,"-",IF(F14=E14,Uebersetzung!D$110,Uebersetzung!D$111))</f>
        <v>-</v>
      </c>
      <c r="H14" s="220"/>
    </row>
    <row r="15" spans="2:17" s="4" customFormat="1" ht="22.5" customHeight="1" x14ac:dyDescent="0.2">
      <c r="B15" s="228" t="str">
        <f>Uebersetzung!D133</f>
        <v>C1.4 Nutzung solare Energie</v>
      </c>
      <c r="C15" s="57"/>
      <c r="D15" s="270"/>
      <c r="E15" s="382"/>
      <c r="F15" s="382"/>
      <c r="G15" s="381"/>
      <c r="H15" s="220"/>
    </row>
    <row r="16" spans="2:17" s="4" customFormat="1" ht="22.5" customHeight="1" x14ac:dyDescent="0.25">
      <c r="B16" s="197" t="str">
        <f>Uebersetzung!D133&amp;" "&amp;Uebersetzung!D43</f>
        <v>C1.4 Nutzung solare Energie Areal</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
      <c r="B17" s="221" t="str">
        <f>Uebersetzung!D134</f>
        <v>C2.1 Treibhausgasemissionen in der Erstellung</v>
      </c>
      <c r="C17" s="57"/>
      <c r="D17" s="383"/>
      <c r="E17" s="384"/>
      <c r="F17" s="384"/>
      <c r="G17" s="381"/>
      <c r="H17" s="220"/>
    </row>
    <row r="18" spans="2:13" s="4" customFormat="1" ht="22.5" customHeight="1" x14ac:dyDescent="0.25">
      <c r="B18" s="223" t="str">
        <f>Uebersetzung!D42</f>
        <v>Treibhausgasemissionen Erstellung aller Neubauten im Areal</v>
      </c>
      <c r="C18" s="229" t="str">
        <f>Uebersetzung!D166</f>
        <v>kgCO2eq/m2 EBF Neubau</v>
      </c>
      <c r="D18" s="224" t="s">
        <v>33</v>
      </c>
      <c r="E18" s="225" t="str">
        <f>IF(H18=Uebersetzung!E123,"-",IFERROR(Eingabe!Z53,Uebersetzung!D139))</f>
        <v>Fehlende Eingabe</v>
      </c>
      <c r="F18" s="226" t="str">
        <f>IF(H18=Uebersetzung!E123,"-",IFERROR(Eingabe!Z54,Uebersetzung!D139))</f>
        <v>Fehlende Eingabe</v>
      </c>
      <c r="G18" s="227" t="str">
        <f>IF(OR(E18=Uebersetzung!D139,H18=Uebersetzung!D123),"-",IF(F18&lt;=E18,Uebersetzung!D$110,Uebersetzung!D$111))</f>
        <v>-</v>
      </c>
      <c r="H18" s="4" t="str">
        <f>IF(AND(F22&lt;&gt;0,F23=0,Eingabe!Z80=0),Uebersetzung!E123,"")</f>
        <v/>
      </c>
    </row>
    <row r="20" spans="2:13" ht="31.5" customHeight="1" x14ac:dyDescent="0.2">
      <c r="B20" s="2" t="str">
        <f>Uebersetzung!D37</f>
        <v>Energiebezugsflächen des Areals</v>
      </c>
    </row>
    <row r="21" spans="2:13" ht="22.5" customHeight="1" x14ac:dyDescent="0.2">
      <c r="B21" s="230"/>
      <c r="C21" s="231"/>
      <c r="D21" s="439"/>
      <c r="E21" s="439"/>
      <c r="F21" s="195" t="str">
        <f>Uebersetzung!D41</f>
        <v>Projektwert</v>
      </c>
      <c r="G21" s="196"/>
      <c r="H21" s="307"/>
      <c r="I21" s="284"/>
      <c r="J21" s="284"/>
      <c r="K21" s="284"/>
      <c r="L21" s="284"/>
      <c r="M21" s="308"/>
    </row>
    <row r="22" spans="2:13" s="4" customFormat="1" ht="14.1" customHeight="1" x14ac:dyDescent="0.25">
      <c r="B22" s="275" t="str">
        <f>Uebersetzung!D17&amp;" "&amp;Uebersetzung!D118</f>
        <v>Energiebezugsfläche EBF total</v>
      </c>
      <c r="C22" s="276" t="s">
        <v>176</v>
      </c>
      <c r="D22" s="276"/>
      <c r="E22" s="277"/>
      <c r="F22" s="277">
        <f>SUM(EBFAreal)</f>
        <v>0</v>
      </c>
      <c r="G22" s="210"/>
      <c r="H22" s="309"/>
      <c r="M22" s="162"/>
    </row>
    <row r="23" spans="2:13" ht="14.1" customHeight="1" x14ac:dyDescent="0.2">
      <c r="B23" s="206" t="str">
        <f>Uebersetzung!D132</f>
        <v>Neubauten nach Minergie</v>
      </c>
      <c r="C23" s="198" t="s">
        <v>4</v>
      </c>
      <c r="D23" s="198"/>
      <c r="E23" s="234"/>
      <c r="F23" s="233">
        <f>SUMIF(BauvorhabenAreal,Neubau,EBFAreal)</f>
        <v>0</v>
      </c>
      <c r="G23" s="210"/>
      <c r="H23" s="310"/>
      <c r="M23" s="239"/>
    </row>
    <row r="24" spans="2:13" ht="14.1" customHeight="1" x14ac:dyDescent="0.2">
      <c r="B24" s="206" t="str">
        <f>Uebersetzung!D157</f>
        <v>Bestandesbauten</v>
      </c>
      <c r="C24" s="198"/>
      <c r="D24" s="198"/>
      <c r="E24" s="234"/>
      <c r="F24" s="233"/>
      <c r="G24" s="210"/>
      <c r="H24" s="310"/>
      <c r="M24" s="239"/>
    </row>
    <row r="25" spans="2:13" s="377" customFormat="1" ht="14.1" customHeight="1" x14ac:dyDescent="0.2">
      <c r="B25" s="379" t="str">
        <f>Uebersetzung!D146</f>
        <v>Erneuerungen nach Minergie (inkl. Systemerneuerungen)</v>
      </c>
      <c r="C25" s="373" t="s">
        <v>4</v>
      </c>
      <c r="D25" s="373"/>
      <c r="E25" s="374"/>
      <c r="F25" s="233">
        <f>SUMIF(BauvorhabenAreal,Erneuerung,EBFAreal)+SUMIF(BauvorhabenAreal,Systemerneuerung,EBFAreal)</f>
        <v>0</v>
      </c>
      <c r="G25" s="375"/>
      <c r="H25" s="376"/>
      <c r="M25" s="378"/>
    </row>
    <row r="26" spans="2:13" ht="14.1" customHeight="1" x14ac:dyDescent="0.2">
      <c r="B26" s="348" t="str">
        <f>GEAK_SNBS</f>
        <v>Erneuerung nach GEAK A/B/C oder SNBS</v>
      </c>
      <c r="C26" s="198" t="s">
        <v>4</v>
      </c>
      <c r="D26" s="203"/>
      <c r="E26" s="346"/>
      <c r="F26" s="233">
        <f>SUMIF(BauvorhabenAreal,GEAK_SNBS,EBFAreal)</f>
        <v>0</v>
      </c>
      <c r="G26" s="347"/>
      <c r="H26" s="310"/>
      <c r="M26" s="239"/>
    </row>
    <row r="27" spans="2:13" ht="14.1" customHeight="1" x14ac:dyDescent="0.2">
      <c r="B27" s="348" t="str">
        <f>MinergieZert</f>
        <v>Keine Erneuerung (bestehendes Minergie-Zertifikat)</v>
      </c>
      <c r="C27" s="198" t="s">
        <v>4</v>
      </c>
      <c r="D27" s="203"/>
      <c r="E27" s="346"/>
      <c r="F27" s="233">
        <f>SUMIF(BauvorhabenAreal,MinergieZert,EBFAreal)</f>
        <v>0</v>
      </c>
      <c r="G27" s="347"/>
      <c r="H27" s="310"/>
      <c r="M27" s="239"/>
    </row>
    <row r="28" spans="2:13" ht="14.1" customHeight="1" x14ac:dyDescent="0.2">
      <c r="B28" s="348" t="str">
        <f>Schutzinv</f>
        <v>Keine Erneuerung (Gebäude im Schutzinventar)</v>
      </c>
      <c r="C28" s="198" t="s">
        <v>4</v>
      </c>
      <c r="D28" s="203"/>
      <c r="E28" s="346"/>
      <c r="F28" s="233">
        <f>SUMIF(BauvorhabenAreal,Schutzinv,EBFAreal)</f>
        <v>0</v>
      </c>
      <c r="G28" s="347"/>
      <c r="H28" s="310"/>
      <c r="M28" s="239"/>
    </row>
    <row r="29" spans="2:13" ht="14.1" customHeight="1" x14ac:dyDescent="0.2">
      <c r="B29" s="348" t="str">
        <f>WeitereAusnahmen</f>
        <v>Keine Erneuerung (ohne Grund)</v>
      </c>
      <c r="C29" s="198" t="s">
        <v>4</v>
      </c>
      <c r="D29" s="203"/>
      <c r="E29" s="346"/>
      <c r="F29" s="233">
        <f>SUMIF(BauvorhabenAreal,WeitereAusnahmen,EBFAreal)</f>
        <v>0</v>
      </c>
      <c r="G29" s="347"/>
      <c r="H29" s="310"/>
      <c r="M29" s="239"/>
    </row>
    <row r="30" spans="2:13" ht="14.1" customHeight="1" x14ac:dyDescent="0.2">
      <c r="B30" s="235"/>
      <c r="C30" s="236"/>
      <c r="D30" s="236"/>
      <c r="E30" s="237"/>
      <c r="F30" s="237"/>
      <c r="G30" s="238"/>
      <c r="H30" s="310"/>
      <c r="M30" s="239"/>
    </row>
    <row r="31" spans="2:13" ht="14.1" customHeight="1" x14ac:dyDescent="0.2">
      <c r="B31" s="39" t="str">
        <f>Uebersetzung!D175</f>
        <v>Energiebezugsflächen EBF nach Gebäudekategorie</v>
      </c>
      <c r="G31" s="239"/>
      <c r="H31" s="310"/>
      <c r="M31" s="239"/>
    </row>
    <row r="32" spans="2:13" s="4" customFormat="1" ht="14.1" customHeight="1" x14ac:dyDescent="0.25">
      <c r="B32" s="206" t="str">
        <f>Uebersetzung!D177</f>
        <v>Wohnen</v>
      </c>
      <c r="C32" s="198" t="s">
        <v>4</v>
      </c>
      <c r="D32" s="198"/>
      <c r="E32" s="233"/>
      <c r="F32" s="233">
        <f>SUM(Eingabe!M142+Eingabe!M143)</f>
        <v>0</v>
      </c>
      <c r="G32" s="210"/>
      <c r="H32" s="309"/>
      <c r="M32" s="162"/>
    </row>
    <row r="33" spans="2:13" s="4" customFormat="1" ht="14.1" customHeight="1" x14ac:dyDescent="0.25">
      <c r="B33" s="206" t="str">
        <f>Eingabe!C144</f>
        <v>Verwaltung</v>
      </c>
      <c r="C33" s="198" t="s">
        <v>4</v>
      </c>
      <c r="D33" s="198"/>
      <c r="E33" s="233"/>
      <c r="F33" s="233">
        <f>Eingabe!M144</f>
        <v>0</v>
      </c>
      <c r="G33" s="210"/>
      <c r="H33" s="309"/>
      <c r="M33" s="162"/>
    </row>
    <row r="34" spans="2:13" s="4" customFormat="1" ht="14.1" customHeight="1" x14ac:dyDescent="0.25">
      <c r="B34" s="206" t="str">
        <f>Eingabe!C145</f>
        <v xml:space="preserve">Schulen </v>
      </c>
      <c r="C34" s="198" t="s">
        <v>4</v>
      </c>
      <c r="D34" s="198"/>
      <c r="E34" s="233"/>
      <c r="F34" s="233">
        <f>Eingabe!M145</f>
        <v>0</v>
      </c>
      <c r="G34" s="210"/>
      <c r="H34" s="309"/>
      <c r="M34" s="162"/>
    </row>
    <row r="35" spans="2:13" s="4" customFormat="1" ht="14.1" customHeight="1" x14ac:dyDescent="0.25">
      <c r="B35" s="206" t="str">
        <f>Eingabe!C146</f>
        <v>Verkauf</v>
      </c>
      <c r="C35" s="198" t="s">
        <v>4</v>
      </c>
      <c r="D35" s="198"/>
      <c r="E35" s="233"/>
      <c r="F35" s="233">
        <f>Eingabe!M146</f>
        <v>0</v>
      </c>
      <c r="G35" s="210"/>
      <c r="H35" s="309"/>
      <c r="M35" s="162"/>
    </row>
    <row r="36" spans="2:13" s="4" customFormat="1" ht="14.1" customHeight="1" x14ac:dyDescent="0.25">
      <c r="B36" s="206" t="str">
        <f>Eingabe!C147</f>
        <v>Restaurant</v>
      </c>
      <c r="C36" s="198" t="s">
        <v>4</v>
      </c>
      <c r="D36" s="198"/>
      <c r="E36" s="233"/>
      <c r="F36" s="233">
        <f>Eingabe!M147</f>
        <v>0</v>
      </c>
      <c r="G36" s="210"/>
      <c r="H36" s="309"/>
      <c r="M36" s="162"/>
    </row>
    <row r="37" spans="2:13" s="4" customFormat="1" ht="14.1" customHeight="1" x14ac:dyDescent="0.25">
      <c r="B37" s="206" t="str">
        <f>Eingabe!C148</f>
        <v>Versammlung</v>
      </c>
      <c r="C37" s="198" t="s">
        <v>4</v>
      </c>
      <c r="D37" s="198"/>
      <c r="E37" s="233"/>
      <c r="F37" s="233">
        <f>Eingabe!M148</f>
        <v>0</v>
      </c>
      <c r="G37" s="210"/>
      <c r="H37" s="309"/>
      <c r="M37" s="162"/>
    </row>
    <row r="38" spans="2:13" s="4" customFormat="1" ht="14.1" customHeight="1" x14ac:dyDescent="0.25">
      <c r="B38" s="206" t="str">
        <f>Eingabe!C149</f>
        <v>Spitäler</v>
      </c>
      <c r="C38" s="198" t="s">
        <v>4</v>
      </c>
      <c r="D38" s="198"/>
      <c r="E38" s="233"/>
      <c r="F38" s="233">
        <f>Eingabe!M149</f>
        <v>0</v>
      </c>
      <c r="G38" s="210"/>
      <c r="H38" s="309"/>
      <c r="M38" s="162"/>
    </row>
    <row r="39" spans="2:13" s="4" customFormat="1" ht="14.1" customHeight="1" x14ac:dyDescent="0.25">
      <c r="B39" s="206" t="str">
        <f>Eingabe!C150</f>
        <v>Industrie</v>
      </c>
      <c r="C39" s="198" t="s">
        <v>4</v>
      </c>
      <c r="D39" s="198"/>
      <c r="E39" s="233"/>
      <c r="F39" s="233">
        <f>Eingabe!M150</f>
        <v>0</v>
      </c>
      <c r="G39" s="210"/>
      <c r="H39" s="309"/>
      <c r="M39" s="162"/>
    </row>
    <row r="40" spans="2:13" s="4" customFormat="1" ht="14.1" customHeight="1" x14ac:dyDescent="0.25">
      <c r="B40" s="206" t="str">
        <f>Eingabe!C151</f>
        <v>Lager</v>
      </c>
      <c r="C40" s="198" t="s">
        <v>4</v>
      </c>
      <c r="D40" s="198"/>
      <c r="E40" s="233"/>
      <c r="F40" s="233">
        <f>Eingabe!M151</f>
        <v>0</v>
      </c>
      <c r="G40" s="210"/>
      <c r="H40" s="309"/>
      <c r="M40" s="162"/>
    </row>
    <row r="41" spans="2:13" s="4" customFormat="1" ht="14.1" customHeight="1" x14ac:dyDescent="0.25">
      <c r="B41" s="206" t="str">
        <f>Eingabe!C152</f>
        <v>Sportbauten</v>
      </c>
      <c r="C41" s="198" t="s">
        <v>4</v>
      </c>
      <c r="D41" s="198"/>
      <c r="E41" s="233"/>
      <c r="F41" s="233">
        <f>Eingabe!M152</f>
        <v>0</v>
      </c>
      <c r="G41" s="210"/>
      <c r="H41" s="309"/>
      <c r="M41" s="162"/>
    </row>
    <row r="42" spans="2:13" s="4" customFormat="1" ht="14.1" customHeight="1" x14ac:dyDescent="0.25">
      <c r="B42" s="206" t="str">
        <f>Eingabe!C153</f>
        <v>Hallenbäder</v>
      </c>
      <c r="C42" s="198" t="s">
        <v>4</v>
      </c>
      <c r="D42" s="198"/>
      <c r="E42" s="233"/>
      <c r="F42" s="233">
        <f>Eingabe!M153</f>
        <v>0</v>
      </c>
      <c r="G42" s="210"/>
      <c r="H42" s="309"/>
      <c r="M42" s="162"/>
    </row>
    <row r="43" spans="2:13" ht="26.1" customHeight="1" x14ac:dyDescent="0.2">
      <c r="B43" s="281"/>
      <c r="C43" s="282"/>
      <c r="D43" s="282"/>
      <c r="E43" s="283"/>
      <c r="F43" s="443" t="str">
        <f>IF(SUM(F32:F42)=F22,"",Uebersetzung!D178)</f>
        <v/>
      </c>
      <c r="G43" s="444"/>
      <c r="H43" s="240"/>
      <c r="I43" s="242"/>
      <c r="J43" s="242"/>
      <c r="K43" s="242"/>
      <c r="L43" s="242"/>
      <c r="M43" s="243"/>
    </row>
    <row r="44" spans="2:13" x14ac:dyDescent="0.2">
      <c r="B44" s="284"/>
      <c r="C44" s="38"/>
      <c r="D44" s="38"/>
      <c r="E44" s="284"/>
      <c r="F44" s="284"/>
      <c r="G44" s="284"/>
    </row>
    <row r="45" spans="2:13" ht="26.25" customHeight="1" x14ac:dyDescent="0.2">
      <c r="B45" s="2" t="str">
        <f>Uebersetzung!D149</f>
        <v>Unterschrift</v>
      </c>
    </row>
    <row r="46" spans="2:13" ht="25.5" customHeight="1" x14ac:dyDescent="0.2">
      <c r="B46" s="434" t="str">
        <f>Uebersetzung!D148</f>
        <v>Die Bauherrschaft / Areal-Organisation bestätigt, dass die gemachten Angaben im vorliegenden Hilfstool korrekt sind.</v>
      </c>
      <c r="C46" s="435"/>
      <c r="D46" s="435"/>
      <c r="E46" s="435"/>
      <c r="F46" s="435"/>
      <c r="G46" s="436"/>
    </row>
    <row r="47" spans="2:13" ht="26.25" customHeight="1" x14ac:dyDescent="0.2">
      <c r="B47" s="232" t="str">
        <f>Uebersetzung!D152</f>
        <v>Name und Vorname</v>
      </c>
      <c r="C47" s="433"/>
      <c r="D47" s="433"/>
      <c r="E47" s="433"/>
      <c r="F47" s="433"/>
      <c r="G47" s="239"/>
    </row>
    <row r="48" spans="2:13" ht="26.25" customHeight="1" x14ac:dyDescent="0.2">
      <c r="B48" s="232" t="str">
        <f>Uebersetzung!D150</f>
        <v>Ort</v>
      </c>
      <c r="C48" s="433"/>
      <c r="D48" s="433"/>
      <c r="E48" s="433"/>
      <c r="F48" s="433"/>
      <c r="G48" s="239"/>
    </row>
    <row r="49" spans="2:7" ht="26.25" customHeight="1" x14ac:dyDescent="0.2">
      <c r="B49" s="232" t="str">
        <f>Uebersetzung!D151</f>
        <v>Datum</v>
      </c>
      <c r="C49" s="442"/>
      <c r="D49" s="433"/>
      <c r="E49" s="433"/>
      <c r="F49" s="433"/>
      <c r="G49" s="239"/>
    </row>
    <row r="50" spans="2:7" ht="26.25" customHeight="1" x14ac:dyDescent="0.2">
      <c r="B50" s="232" t="str">
        <f>Uebersetzung!D149</f>
        <v>Unterschrift</v>
      </c>
      <c r="C50" s="433"/>
      <c r="D50" s="433"/>
      <c r="E50" s="433"/>
      <c r="F50" s="433"/>
      <c r="G50" s="239"/>
    </row>
    <row r="51" spans="2:7" x14ac:dyDescent="0.2">
      <c r="B51" s="240"/>
      <c r="C51" s="241"/>
      <c r="D51" s="241"/>
      <c r="E51" s="242"/>
      <c r="F51" s="242"/>
      <c r="G51" s="243"/>
    </row>
    <row r="53" spans="2:7" x14ac:dyDescent="0.2">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zoomScale="85" zoomScaleNormal="85" workbookViewId="0">
      <selection activeCell="E13" sqref="E13"/>
    </sheetView>
  </sheetViews>
  <sheetFormatPr baseColWidth="10" defaultColWidth="10.85546875" defaultRowHeight="12.75" x14ac:dyDescent="0.2"/>
  <cols>
    <col min="1" max="1" width="25.85546875" style="296" customWidth="1"/>
    <col min="2" max="2" width="43.85546875" style="46" customWidth="1"/>
    <col min="3" max="3" width="19.85546875" style="46" bestFit="1" customWidth="1"/>
    <col min="4" max="4" width="20.42578125" style="46" customWidth="1"/>
    <col min="5" max="5" width="20" style="46" customWidth="1"/>
    <col min="6" max="16384" width="10.85546875" style="46"/>
  </cols>
  <sheetData>
    <row r="1" spans="1:8" ht="38.25" x14ac:dyDescent="0.2">
      <c r="A1" s="288" t="str">
        <f>Uebersetzung!E141</f>
        <v>Liste</v>
      </c>
      <c r="B1" s="289"/>
      <c r="C1" s="292" t="str">
        <f>Uebersetzung!D119&amp;" [kgCO2/m2]"</f>
        <v>Basisgrenzwert THGE EBF [kgCO2/m2]</v>
      </c>
      <c r="D1" s="292" t="str">
        <f>Uebersetzung!D120&amp;" [kgCO2/m2]"</f>
        <v>Basisgrenzwert THGE GF-EBF [kgCO2/m2]</v>
      </c>
      <c r="E1" s="293" t="str">
        <f>Uebersetzung!D35&amp;" [kgCO2/m2]"</f>
        <v>Abschlag Rückbau [kgCO2/m2]</v>
      </c>
    </row>
    <row r="2" spans="1:8" s="45" customFormat="1" x14ac:dyDescent="0.2">
      <c r="A2" s="288" t="str">
        <f>Uebersetzung!D16</f>
        <v>Gebäudekategorie</v>
      </c>
      <c r="B2" s="289" t="str">
        <f>Uebersetzung!D44</f>
        <v>Wohnen MFH</v>
      </c>
      <c r="C2" s="294">
        <v>12.4</v>
      </c>
      <c r="D2" s="294">
        <v>5.5</v>
      </c>
      <c r="E2" s="295">
        <f>(C2*80%+D2*20%)/80%</f>
        <v>13.775</v>
      </c>
    </row>
    <row r="3" spans="1:8" x14ac:dyDescent="0.2">
      <c r="B3" s="289" t="str">
        <f>Uebersetzung!D45</f>
        <v>Wohnen EFH</v>
      </c>
      <c r="C3" s="294">
        <v>13.6</v>
      </c>
      <c r="D3" s="294">
        <v>5.5</v>
      </c>
      <c r="E3" s="295">
        <f t="shared" ref="E3:E13" si="0">(C3*80%+D3*20%)/80%</f>
        <v>14.975</v>
      </c>
      <c r="F3" s="45"/>
      <c r="G3" s="45"/>
      <c r="H3" s="45"/>
    </row>
    <row r="4" spans="1:8" x14ac:dyDescent="0.2">
      <c r="B4" s="289" t="str">
        <f>Uebersetzung!D46</f>
        <v>Verwaltung</v>
      </c>
      <c r="C4" s="294">
        <v>13.6</v>
      </c>
      <c r="D4" s="294">
        <v>5.5</v>
      </c>
      <c r="E4" s="295">
        <f t="shared" si="0"/>
        <v>14.975</v>
      </c>
      <c r="F4" s="45"/>
      <c r="G4" s="45"/>
      <c r="H4" s="45"/>
    </row>
    <row r="5" spans="1:8" x14ac:dyDescent="0.2">
      <c r="B5" s="289" t="str">
        <f>Uebersetzung!D47</f>
        <v xml:space="preserve">Schulen </v>
      </c>
      <c r="C5" s="294">
        <v>12.4</v>
      </c>
      <c r="D5" s="294">
        <v>5.5</v>
      </c>
      <c r="E5" s="295">
        <f t="shared" si="0"/>
        <v>13.775</v>
      </c>
      <c r="F5" s="45"/>
      <c r="G5" s="45"/>
      <c r="H5" s="45"/>
    </row>
    <row r="6" spans="1:8" x14ac:dyDescent="0.2">
      <c r="B6" s="289" t="str">
        <f>Uebersetzung!D48</f>
        <v>Verkauf</v>
      </c>
      <c r="C6" s="294">
        <v>19.899999999999999</v>
      </c>
      <c r="D6" s="294">
        <v>5.5</v>
      </c>
      <c r="E6" s="295">
        <f t="shared" si="0"/>
        <v>21.274999999999999</v>
      </c>
      <c r="F6" s="45"/>
      <c r="G6" s="45"/>
      <c r="H6" s="45"/>
    </row>
    <row r="7" spans="1:8" x14ac:dyDescent="0.2">
      <c r="B7" s="289" t="str">
        <f>Uebersetzung!D49</f>
        <v>Restaurant</v>
      </c>
      <c r="C7" s="294">
        <v>16.100000000000001</v>
      </c>
      <c r="D7" s="294">
        <v>5.5</v>
      </c>
      <c r="E7" s="295">
        <f t="shared" si="0"/>
        <v>17.475000000000001</v>
      </c>
      <c r="F7" s="45"/>
      <c r="G7" s="45"/>
      <c r="H7" s="45"/>
    </row>
    <row r="8" spans="1:8" x14ac:dyDescent="0.2">
      <c r="B8" s="289" t="str">
        <f>Uebersetzung!D50</f>
        <v>Versammlung</v>
      </c>
      <c r="C8" s="294">
        <v>17.399999999999999</v>
      </c>
      <c r="D8" s="294">
        <v>5.5</v>
      </c>
      <c r="E8" s="295">
        <f t="shared" si="0"/>
        <v>18.774999999999999</v>
      </c>
      <c r="F8" s="45"/>
      <c r="G8" s="45"/>
      <c r="H8" s="45"/>
    </row>
    <row r="9" spans="1:8" x14ac:dyDescent="0.2">
      <c r="B9" s="289" t="str">
        <f>Uebersetzung!D51</f>
        <v>Spitäler</v>
      </c>
      <c r="C9" s="294">
        <v>19.899999999999999</v>
      </c>
      <c r="D9" s="294">
        <v>5.5</v>
      </c>
      <c r="E9" s="295">
        <f t="shared" si="0"/>
        <v>21.274999999999999</v>
      </c>
      <c r="F9" s="45"/>
      <c r="G9" s="45"/>
      <c r="H9" s="45"/>
    </row>
    <row r="10" spans="1:8" x14ac:dyDescent="0.2">
      <c r="B10" s="289" t="str">
        <f>Uebersetzung!D52</f>
        <v>Industrie</v>
      </c>
      <c r="C10" s="294">
        <v>17.399999999999999</v>
      </c>
      <c r="D10" s="294">
        <v>5.5</v>
      </c>
      <c r="E10" s="295">
        <f t="shared" si="0"/>
        <v>18.774999999999999</v>
      </c>
      <c r="F10" s="45"/>
      <c r="G10" s="45"/>
      <c r="H10" s="45"/>
    </row>
    <row r="11" spans="1:8" x14ac:dyDescent="0.2">
      <c r="B11" s="289" t="str">
        <f>Uebersetzung!D53</f>
        <v>Lager</v>
      </c>
      <c r="C11" s="294">
        <v>17.399999999999999</v>
      </c>
      <c r="D11" s="294">
        <v>5.5</v>
      </c>
      <c r="E11" s="295">
        <f t="shared" si="0"/>
        <v>18.774999999999999</v>
      </c>
      <c r="F11" s="45"/>
      <c r="G11" s="45"/>
      <c r="H11" s="45"/>
    </row>
    <row r="12" spans="1:8" x14ac:dyDescent="0.2">
      <c r="B12" s="289" t="str">
        <f>Uebersetzung!D54</f>
        <v>Sportbauten</v>
      </c>
      <c r="C12" s="294">
        <v>17.399999999999999</v>
      </c>
      <c r="D12" s="294">
        <v>5.5</v>
      </c>
      <c r="E12" s="295">
        <f t="shared" si="0"/>
        <v>18.774999999999999</v>
      </c>
      <c r="F12" s="45"/>
      <c r="G12" s="45"/>
      <c r="H12" s="45"/>
    </row>
    <row r="13" spans="1:8" x14ac:dyDescent="0.2">
      <c r="B13" s="289" t="str">
        <f>Uebersetzung!D55</f>
        <v>Hallenbäder</v>
      </c>
      <c r="C13" s="294">
        <v>17.399999999999999</v>
      </c>
      <c r="D13" s="294">
        <v>5.5</v>
      </c>
      <c r="E13" s="295">
        <f t="shared" si="0"/>
        <v>18.774999999999999</v>
      </c>
      <c r="F13" s="45"/>
      <c r="G13" s="45"/>
      <c r="H13" s="45"/>
    </row>
    <row r="14" spans="1:8" x14ac:dyDescent="0.2">
      <c r="F14" s="45"/>
    </row>
    <row r="16" spans="1:8" x14ac:dyDescent="0.2">
      <c r="A16" s="288" t="str">
        <f>Uebersetzung!E28</f>
        <v>Standard</v>
      </c>
      <c r="B16" s="289" t="str">
        <f>Uebersetzung!D57</f>
        <v>Minergie</v>
      </c>
    </row>
    <row r="17" spans="1:2" x14ac:dyDescent="0.2">
      <c r="B17" s="289" t="str">
        <f>Uebersetzung!D58</f>
        <v>Minergie-A</v>
      </c>
    </row>
    <row r="18" spans="1:2" x14ac:dyDescent="0.2">
      <c r="B18" s="289" t="str">
        <f>Uebersetzung!D59</f>
        <v>Minergie-P</v>
      </c>
    </row>
    <row r="19" spans="1:2" x14ac:dyDescent="0.2">
      <c r="B19" s="289" t="str">
        <f>Uebersetzung!D60</f>
        <v>Minergie-ECO</v>
      </c>
    </row>
    <row r="20" spans="1:2" x14ac:dyDescent="0.2">
      <c r="B20" s="289" t="str">
        <f>Uebersetzung!D61</f>
        <v>Minergie-A-ECO</v>
      </c>
    </row>
    <row r="21" spans="1:2" x14ac:dyDescent="0.2">
      <c r="B21" s="289" t="str">
        <f>Uebersetzung!D62</f>
        <v>Minergie-P-ECO</v>
      </c>
    </row>
    <row r="22" spans="1:2" x14ac:dyDescent="0.2">
      <c r="B22" s="289" t="str">
        <f>Uebersetzung!D63</f>
        <v>Noch offen</v>
      </c>
    </row>
    <row r="24" spans="1:2" x14ac:dyDescent="0.2">
      <c r="A24" s="288"/>
    </row>
    <row r="29" spans="1:2" ht="25.5" x14ac:dyDescent="0.2">
      <c r="A29" s="288" t="str">
        <f>Uebersetzung!D18</f>
        <v>Art der Erneuerung der Gebäudehülle</v>
      </c>
      <c r="B29" s="289" t="str">
        <f>Uebersetzung!D197</f>
        <v>Erneuerung nach Minergie</v>
      </c>
    </row>
    <row r="30" spans="1:2" x14ac:dyDescent="0.2">
      <c r="A30" s="288"/>
      <c r="B30" s="289" t="str">
        <f>Uebersetzung!D143</f>
        <v>Systemerneuerung nach Minergie</v>
      </c>
    </row>
    <row r="31" spans="1:2" x14ac:dyDescent="0.2">
      <c r="A31" s="288"/>
      <c r="B31" s="351" t="str">
        <f>Uebersetzung!D70</f>
        <v>Erneuerung nach GEAK A/B/C oder SNBS</v>
      </c>
    </row>
    <row r="32" spans="1:2" x14ac:dyDescent="0.2">
      <c r="A32" s="288"/>
      <c r="B32" s="289" t="str">
        <f>Uebersetzung!D69</f>
        <v>Keine Erneuerung (bestehendes Minergie-Zertifikat)</v>
      </c>
    </row>
    <row r="33" spans="1:3" s="352" customFormat="1" x14ac:dyDescent="0.2">
      <c r="A33" s="350"/>
      <c r="B33" s="289" t="str">
        <f>Uebersetzung!D68</f>
        <v>Keine Erneuerung (Gebäude im Schutzinventar)</v>
      </c>
    </row>
    <row r="34" spans="1:3" x14ac:dyDescent="0.2">
      <c r="B34" s="289" t="str">
        <f>Uebersetzung!D128</f>
        <v>Keine Erneuerung (ohne Grund)</v>
      </c>
    </row>
    <row r="38" spans="1:3" x14ac:dyDescent="0.2">
      <c r="B38" s="289"/>
      <c r="C38" s="291" t="str">
        <f>Uebersetzung!D98</f>
        <v>Erlaubt im Minergie-Areal?</v>
      </c>
    </row>
    <row r="39" spans="1:3" x14ac:dyDescent="0.2">
      <c r="A39" s="288" t="str">
        <f>Uebersetzung!D76</f>
        <v>Wärmeerzeugung</v>
      </c>
      <c r="B39" s="289" t="str">
        <f>Uebersetzung!D77</f>
        <v>Ab- / Zuluft-WP</v>
      </c>
      <c r="C39" s="289">
        <v>1</v>
      </c>
    </row>
    <row r="40" spans="1:3" x14ac:dyDescent="0.2">
      <c r="B40" s="289" t="str">
        <f>Uebersetzung!D78</f>
        <v>Abwärme aus Gewerbe-/Klimakälte</v>
      </c>
      <c r="C40" s="289">
        <v>1</v>
      </c>
    </row>
    <row r="41" spans="1:3" x14ac:dyDescent="0.2">
      <c r="B41" s="289" t="str">
        <f>Uebersetzung!D79</f>
        <v>Abwasser-WP</v>
      </c>
      <c r="C41" s="289">
        <v>1</v>
      </c>
    </row>
    <row r="42" spans="1:3" x14ac:dyDescent="0.2">
      <c r="B42" s="289" t="str">
        <f>Uebersetzung!D80</f>
        <v>Elektro-Wassererwärmer</v>
      </c>
      <c r="C42" s="289">
        <v>1</v>
      </c>
    </row>
    <row r="43" spans="1:3" x14ac:dyDescent="0.2">
      <c r="B43" s="289" t="str">
        <f>Uebersetzung!D81</f>
        <v>Erdregister-WP</v>
      </c>
      <c r="C43" s="289">
        <v>1</v>
      </c>
    </row>
    <row r="44" spans="1:3" x14ac:dyDescent="0.2">
      <c r="B44" s="289" t="str">
        <f>Uebersetzung!D82</f>
        <v>Erdsonden-WP</v>
      </c>
      <c r="C44" s="289">
        <v>1</v>
      </c>
    </row>
    <row r="45" spans="1:3" x14ac:dyDescent="0.2">
      <c r="B45" s="289" t="str">
        <f>Uebersetzung!D83</f>
        <v>Fernwärme (&lt;=25% nicht erneuerbar)</v>
      </c>
      <c r="C45" s="289">
        <v>1</v>
      </c>
    </row>
    <row r="46" spans="1:3" x14ac:dyDescent="0.2">
      <c r="B46" s="289" t="str">
        <f>Uebersetzung!D84</f>
        <v>Fernwärme (&lt;=50% nicht erneuerbar)</v>
      </c>
      <c r="C46" s="289">
        <v>0</v>
      </c>
    </row>
    <row r="47" spans="1:3" x14ac:dyDescent="0.2">
      <c r="B47" s="289" t="str">
        <f>Uebersetzung!D85</f>
        <v>Fernwärme (&lt;=75% nicht erneuerbar)</v>
      </c>
      <c r="C47" s="289">
        <v>0</v>
      </c>
    </row>
    <row r="48" spans="1:3" x14ac:dyDescent="0.2">
      <c r="B48" s="289" t="str">
        <f>Uebersetzung!D86</f>
        <v>Fernwärme (&gt;75% nicht erneuerbar)</v>
      </c>
      <c r="C48" s="289">
        <v>0</v>
      </c>
    </row>
    <row r="49" spans="1:3" x14ac:dyDescent="0.2">
      <c r="B49" s="289" t="str">
        <f>Uebersetzung!D87</f>
        <v>Gasfeuerung / Gas-Wassererwärmer</v>
      </c>
      <c r="C49" s="289">
        <v>0</v>
      </c>
    </row>
    <row r="50" spans="1:3" x14ac:dyDescent="0.2">
      <c r="B50" s="289" t="str">
        <f>Uebersetzung!D88</f>
        <v>Gaswärmepumpe</v>
      </c>
      <c r="C50" s="289">
        <v>0</v>
      </c>
    </row>
    <row r="51" spans="1:3" x14ac:dyDescent="0.2">
      <c r="B51" s="289" t="str">
        <f>Uebersetzung!D89</f>
        <v>Grundwasser-WP</v>
      </c>
      <c r="C51" s="289">
        <v>1</v>
      </c>
    </row>
    <row r="52" spans="1:3" x14ac:dyDescent="0.2">
      <c r="B52" s="289" t="str">
        <f>Uebersetzung!D90</f>
        <v>Holzfeuerung</v>
      </c>
      <c r="C52" s="289">
        <v>1</v>
      </c>
    </row>
    <row r="53" spans="1:3" x14ac:dyDescent="0.2">
      <c r="B53" s="289" t="str">
        <f>Uebersetzung!D91</f>
        <v>Kompakt-WP</v>
      </c>
      <c r="C53" s="289">
        <v>1</v>
      </c>
    </row>
    <row r="54" spans="1:3" x14ac:dyDescent="0.2">
      <c r="B54" s="289" t="str">
        <f>Uebersetzung!D92</f>
        <v>Luft-Wärmepumpe</v>
      </c>
      <c r="C54" s="289">
        <v>1</v>
      </c>
    </row>
    <row r="55" spans="1:3" x14ac:dyDescent="0.2">
      <c r="B55" s="289" t="str">
        <f>Uebersetzung!D93</f>
        <v>Ölfeuerung</v>
      </c>
      <c r="C55" s="289">
        <v>0</v>
      </c>
    </row>
    <row r="56" spans="1:3" x14ac:dyDescent="0.2">
      <c r="B56" s="289" t="str">
        <f>Uebersetzung!D94</f>
        <v>Pelletfeuerung</v>
      </c>
      <c r="C56" s="289">
        <v>1</v>
      </c>
    </row>
    <row r="57" spans="1:3" x14ac:dyDescent="0.2">
      <c r="B57" s="289" t="str">
        <f>Uebersetzung!D95</f>
        <v>Solarenergie thermisch</v>
      </c>
      <c r="C57" s="289">
        <v>1</v>
      </c>
    </row>
    <row r="58" spans="1:3" x14ac:dyDescent="0.2">
      <c r="B58" s="289" t="str">
        <f>Uebersetzung!D96</f>
        <v>WKK</v>
      </c>
      <c r="C58" s="289">
        <v>1</v>
      </c>
    </row>
    <row r="61" spans="1:3" x14ac:dyDescent="0.2">
      <c r="B61" s="289"/>
      <c r="C61" s="291" t="str">
        <f>Uebersetzung!D27&amp;", "&amp;Uebersetzung!E40&amp;" [kWp/m2]"</f>
        <v>Eigenstromerzeugung, Anforderung [kWp/m2]</v>
      </c>
    </row>
    <row r="62" spans="1:3" ht="27.75" customHeight="1" x14ac:dyDescent="0.2">
      <c r="A62" s="288" t="str">
        <f>Uebersetzung!D199</f>
        <v>Neubau oder Bestandesbau?</v>
      </c>
      <c r="B62" s="289" t="str">
        <f>Uebersetzung!D109</f>
        <v>Neubau</v>
      </c>
      <c r="C62" s="289">
        <v>0.02</v>
      </c>
    </row>
    <row r="63" spans="1:3" x14ac:dyDescent="0.2">
      <c r="B63" s="289" t="str">
        <f>Uebersetzung!D200</f>
        <v>Bestandesbau</v>
      </c>
      <c r="C63" s="289">
        <v>0.01</v>
      </c>
    </row>
    <row r="67" spans="1:5" x14ac:dyDescent="0.2">
      <c r="B67" s="289"/>
      <c r="C67" s="291" t="str">
        <f>Uebersetzung!D114</f>
        <v>Zuschläge und Abschläge ganzes Gebäude</v>
      </c>
      <c r="D67" s="289"/>
      <c r="E67" s="291" t="str">
        <f>Uebersetzung!D184</f>
        <v>Anrechnung PV-Anlage (20% Eigenverbrauch + 40% der Einspeisung)</v>
      </c>
    </row>
    <row r="68" spans="1:5" ht="25.5" x14ac:dyDescent="0.2">
      <c r="A68" s="288" t="str">
        <f>Uebersetzung!D114</f>
        <v>Zuschläge und Abschläge ganzes Gebäude</v>
      </c>
      <c r="B68" s="289" t="str">
        <f>Uebersetzung!D115</f>
        <v>PV-Anlage</v>
      </c>
      <c r="C68" s="290">
        <f>7.1/Leistung_Solar</f>
        <v>35.499999999999993</v>
      </c>
      <c r="D68" s="289" t="s">
        <v>123</v>
      </c>
      <c r="E68" s="297">
        <f>20%+80%*40%</f>
        <v>0.52</v>
      </c>
    </row>
    <row r="69" spans="1:5" x14ac:dyDescent="0.2">
      <c r="B69" s="289" t="str">
        <f>Uebersetzung!D116</f>
        <v>Thermische Solarkollektoren</v>
      </c>
      <c r="C69" s="289">
        <v>5.6</v>
      </c>
      <c r="D69" s="289" t="s">
        <v>125</v>
      </c>
    </row>
    <row r="70" spans="1:5" x14ac:dyDescent="0.2">
      <c r="B70" s="291" t="str">
        <f>Uebersetzung!D117</f>
        <v>Erdsonde</v>
      </c>
      <c r="C70" s="289"/>
      <c r="D70" s="289"/>
    </row>
    <row r="71" spans="1:5" x14ac:dyDescent="0.2">
      <c r="B71" s="289" t="str">
        <f>B16</f>
        <v>Minergie</v>
      </c>
      <c r="C71" s="289">
        <v>0.3</v>
      </c>
      <c r="D71" s="289" t="s">
        <v>124</v>
      </c>
    </row>
    <row r="72" spans="1:5" x14ac:dyDescent="0.2">
      <c r="B72" s="289" t="str">
        <f t="shared" ref="B72:B77" si="1">B17</f>
        <v>Minergie-A</v>
      </c>
      <c r="C72" s="289">
        <v>0.3</v>
      </c>
      <c r="D72" s="289" t="s">
        <v>124</v>
      </c>
    </row>
    <row r="73" spans="1:5" x14ac:dyDescent="0.2">
      <c r="B73" s="289" t="str">
        <f t="shared" si="1"/>
        <v>Minergie-P</v>
      </c>
      <c r="C73" s="289">
        <v>0.3</v>
      </c>
      <c r="D73" s="289" t="s">
        <v>124</v>
      </c>
    </row>
    <row r="74" spans="1:5" x14ac:dyDescent="0.2">
      <c r="B74" s="289" t="str">
        <f t="shared" si="1"/>
        <v>Minergie-ECO</v>
      </c>
      <c r="C74" s="289">
        <v>0.3</v>
      </c>
      <c r="D74" s="289" t="s">
        <v>124</v>
      </c>
    </row>
    <row r="75" spans="1:5" x14ac:dyDescent="0.2">
      <c r="B75" s="289" t="str">
        <f t="shared" si="1"/>
        <v>Minergie-A-ECO</v>
      </c>
      <c r="C75" s="289">
        <v>0.3</v>
      </c>
      <c r="D75" s="289" t="s">
        <v>124</v>
      </c>
    </row>
    <row r="76" spans="1:5" x14ac:dyDescent="0.2">
      <c r="B76" s="289" t="str">
        <f t="shared" si="1"/>
        <v>Minergie-P-ECO</v>
      </c>
      <c r="C76" s="289">
        <v>0.3</v>
      </c>
      <c r="D76" s="289" t="s">
        <v>124</v>
      </c>
    </row>
    <row r="77" spans="1:5" x14ac:dyDescent="0.2">
      <c r="B77" s="289" t="str">
        <f t="shared" si="1"/>
        <v>Noch offen</v>
      </c>
      <c r="C77" s="289">
        <v>0.3</v>
      </c>
      <c r="D77" s="289" t="s">
        <v>124</v>
      </c>
    </row>
    <row r="79" spans="1:5" x14ac:dyDescent="0.2">
      <c r="A79" s="288"/>
      <c r="B79" s="289" t="str">
        <f>Uebersetzung!D110</f>
        <v>Ja</v>
      </c>
    </row>
    <row r="80" spans="1:5" x14ac:dyDescent="0.2">
      <c r="B80" s="289" t="str">
        <f>Uebersetzung!D111</f>
        <v>Nein</v>
      </c>
    </row>
    <row r="82" spans="1:3" x14ac:dyDescent="0.2">
      <c r="A82" s="288" t="str">
        <f>Uebersetzung!D129</f>
        <v>Effizienz Solarthermie / PV</v>
      </c>
      <c r="B82" s="289">
        <v>0.2</v>
      </c>
      <c r="C82" s="289" t="s">
        <v>341</v>
      </c>
    </row>
    <row r="85" spans="1:3" ht="38.25" x14ac:dyDescent="0.2">
      <c r="A85" s="288" t="str">
        <f>Uebersetzung!D191</f>
        <v>Bauten im Schutzinventar: lässt kommunale Vorschrift PV-Anlage  zu?</v>
      </c>
      <c r="B85" s="289" t="str">
        <f>Uebersetzung!D192</f>
        <v>PV-Anlage zugelassen</v>
      </c>
    </row>
    <row r="86" spans="1:3" x14ac:dyDescent="0.2">
      <c r="B86" s="289" t="str">
        <f>Uebersetzung!D193</f>
        <v>PV-Anlage nicht zugelassen</v>
      </c>
    </row>
    <row r="91" spans="1:3" x14ac:dyDescent="0.2">
      <c r="A91" s="288" t="str">
        <f>Uebersetzung!D141&amp;" "&amp;Uebersetzung!D194</f>
        <v>Liste leer</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016B-7B15-40AF-A24B-E08BF02834F0}">
  <dimension ref="A1:D31"/>
  <sheetViews>
    <sheetView showGridLines="0" workbookViewId="0">
      <selection activeCell="B23" sqref="B23:B24"/>
    </sheetView>
  </sheetViews>
  <sheetFormatPr baseColWidth="10" defaultRowHeight="15" x14ac:dyDescent="0.25"/>
  <cols>
    <col min="1" max="1" width="8.5703125" customWidth="1"/>
    <col min="2" max="2" width="22.7109375" customWidth="1"/>
    <col min="3" max="3" width="21.140625" customWidth="1"/>
    <col min="4" max="4" width="63.5703125" customWidth="1"/>
  </cols>
  <sheetData>
    <row r="1" spans="1:4" x14ac:dyDescent="0.25">
      <c r="A1" s="409" t="s">
        <v>595</v>
      </c>
    </row>
    <row r="3" spans="1:4" x14ac:dyDescent="0.25">
      <c r="A3" s="410" t="s">
        <v>46</v>
      </c>
      <c r="B3" s="410" t="s">
        <v>597</v>
      </c>
      <c r="C3" s="410" t="s">
        <v>598</v>
      </c>
      <c r="D3" s="410" t="s">
        <v>596</v>
      </c>
    </row>
    <row r="4" spans="1:4" ht="30" x14ac:dyDescent="0.25">
      <c r="A4" s="411">
        <v>2025.1</v>
      </c>
      <c r="B4" s="411" t="s">
        <v>599</v>
      </c>
      <c r="C4" s="411" t="s">
        <v>600</v>
      </c>
      <c r="D4" s="412" t="s">
        <v>601</v>
      </c>
    </row>
    <row r="5" spans="1:4" ht="45" x14ac:dyDescent="0.25">
      <c r="A5" s="411">
        <v>2025.1</v>
      </c>
      <c r="B5" s="411" t="s">
        <v>599</v>
      </c>
      <c r="C5" s="411" t="s">
        <v>602</v>
      </c>
      <c r="D5" s="412" t="s">
        <v>603</v>
      </c>
    </row>
    <row r="6" spans="1:4" x14ac:dyDescent="0.25">
      <c r="A6" s="411"/>
      <c r="B6" s="411"/>
      <c r="C6" s="411"/>
      <c r="D6" s="412"/>
    </row>
    <row r="7" spans="1:4" x14ac:dyDescent="0.25">
      <c r="A7" s="411"/>
      <c r="B7" s="411"/>
      <c r="C7" s="411"/>
      <c r="D7" s="412"/>
    </row>
    <row r="8" spans="1:4" x14ac:dyDescent="0.25">
      <c r="A8" s="411"/>
      <c r="B8" s="411"/>
      <c r="C8" s="411"/>
      <c r="D8" s="412"/>
    </row>
    <row r="9" spans="1:4" x14ac:dyDescent="0.25">
      <c r="A9" s="411"/>
      <c r="B9" s="411"/>
      <c r="C9" s="411"/>
      <c r="D9" s="412"/>
    </row>
    <row r="10" spans="1:4" x14ac:dyDescent="0.25">
      <c r="A10" s="411"/>
      <c r="B10" s="411"/>
      <c r="C10" s="411"/>
      <c r="D10" s="412"/>
    </row>
    <row r="11" spans="1:4" x14ac:dyDescent="0.25">
      <c r="A11" s="411"/>
      <c r="B11" s="411"/>
      <c r="C11" s="411"/>
      <c r="D11" s="412"/>
    </row>
    <row r="12" spans="1:4" x14ac:dyDescent="0.25">
      <c r="A12" s="411"/>
      <c r="B12" s="411"/>
      <c r="C12" s="411"/>
      <c r="D12" s="412"/>
    </row>
    <row r="13" spans="1:4" x14ac:dyDescent="0.25">
      <c r="A13" s="411"/>
      <c r="B13" s="411"/>
      <c r="C13" s="411"/>
      <c r="D13" s="412"/>
    </row>
    <row r="14" spans="1:4" x14ac:dyDescent="0.25">
      <c r="A14" s="411"/>
      <c r="B14" s="411"/>
      <c r="C14" s="411"/>
      <c r="D14" s="412"/>
    </row>
    <row r="15" spans="1:4" x14ac:dyDescent="0.25">
      <c r="A15" s="411"/>
      <c r="B15" s="411"/>
      <c r="C15" s="411"/>
      <c r="D15" s="412"/>
    </row>
    <row r="16" spans="1:4" x14ac:dyDescent="0.25">
      <c r="A16" s="411"/>
      <c r="B16" s="411"/>
      <c r="C16" s="411"/>
      <c r="D16" s="412"/>
    </row>
    <row r="17" spans="1:4" x14ac:dyDescent="0.25">
      <c r="A17" s="411"/>
      <c r="B17" s="411"/>
      <c r="C17" s="411"/>
      <c r="D17" s="412"/>
    </row>
    <row r="18" spans="1:4" x14ac:dyDescent="0.25">
      <c r="A18" s="411"/>
      <c r="B18" s="411"/>
      <c r="C18" s="411"/>
      <c r="D18" s="412"/>
    </row>
    <row r="19" spans="1:4" x14ac:dyDescent="0.25">
      <c r="A19" s="411"/>
      <c r="B19" s="411"/>
      <c r="C19" s="411"/>
      <c r="D19" s="412"/>
    </row>
    <row r="20" spans="1:4" x14ac:dyDescent="0.25">
      <c r="A20" s="411"/>
      <c r="B20" s="411"/>
      <c r="C20" s="411"/>
      <c r="D20" s="412"/>
    </row>
    <row r="21" spans="1:4" x14ac:dyDescent="0.25">
      <c r="A21" s="411"/>
      <c r="B21" s="411"/>
      <c r="C21" s="411"/>
      <c r="D21" s="412"/>
    </row>
    <row r="22" spans="1:4" x14ac:dyDescent="0.25">
      <c r="A22" s="411"/>
      <c r="B22" s="411"/>
      <c r="C22" s="411"/>
      <c r="D22" s="412"/>
    </row>
    <row r="23" spans="1:4" x14ac:dyDescent="0.25">
      <c r="A23" s="411"/>
      <c r="B23" s="411"/>
      <c r="C23" s="411"/>
      <c r="D23" s="412"/>
    </row>
    <row r="24" spans="1:4" x14ac:dyDescent="0.25">
      <c r="A24" s="411"/>
      <c r="B24" s="411"/>
      <c r="C24" s="411"/>
      <c r="D24" s="412"/>
    </row>
    <row r="25" spans="1:4" x14ac:dyDescent="0.25">
      <c r="A25" s="411"/>
      <c r="B25" s="411"/>
      <c r="C25" s="411"/>
      <c r="D25" s="412"/>
    </row>
    <row r="26" spans="1:4" x14ac:dyDescent="0.25">
      <c r="A26" s="411"/>
      <c r="B26" s="411"/>
      <c r="C26" s="411"/>
      <c r="D26" s="412"/>
    </row>
    <row r="27" spans="1:4" x14ac:dyDescent="0.25">
      <c r="A27" s="411"/>
      <c r="B27" s="411"/>
      <c r="C27" s="411"/>
      <c r="D27" s="412"/>
    </row>
    <row r="28" spans="1:4" x14ac:dyDescent="0.25">
      <c r="A28" s="411"/>
      <c r="B28" s="411"/>
      <c r="C28" s="411"/>
      <c r="D28" s="412"/>
    </row>
    <row r="29" spans="1:4" x14ac:dyDescent="0.25">
      <c r="A29" s="411"/>
      <c r="B29" s="411"/>
      <c r="C29" s="411"/>
      <c r="D29" s="412"/>
    </row>
    <row r="30" spans="1:4" x14ac:dyDescent="0.25">
      <c r="A30" s="411"/>
      <c r="B30" s="411"/>
      <c r="C30" s="411"/>
      <c r="D30" s="412"/>
    </row>
    <row r="31" spans="1:4" x14ac:dyDescent="0.25">
      <c r="A31" s="411"/>
      <c r="B31" s="411"/>
      <c r="C31" s="411"/>
      <c r="D31" s="412"/>
    </row>
  </sheetData>
  <sheetProtection algorithmName="SHA-512" hashValue="2Ww/qRVV6atpkfAVBh6m25+ZQmVgDmZZDOiOU7r4Qs8LY4jh9fB40b6u3yAaU9tMAqfaaQUljYAwMXK1gMg8LA==" saltValue="gzrJ9PUNHVGZ1U1xtMqKmw==" spinCount="100000" sheet="1" objects="1" scenarios="1"/>
  <dataValidations count="1">
    <dataValidation type="list" allowBlank="1" showInputMessage="1" showErrorMessage="1" sqref="B4:B31" xr:uid="{6EDF4639-1261-4904-920F-EE3E0359AB46}">
      <formula1>"Anleitung,Eingabe,Uebersicht,Listen,Alle"</formula1>
    </dataValidation>
  </dataValidations>
  <pageMargins left="0.7" right="0.7" top="0.78740157499999996" bottom="0.78740157499999996"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115" zoomScaleNormal="115" workbookViewId="0">
      <selection activeCell="C1" sqref="C1"/>
    </sheetView>
  </sheetViews>
  <sheetFormatPr baseColWidth="10" defaultColWidth="11.42578125" defaultRowHeight="12" x14ac:dyDescent="0.2"/>
  <cols>
    <col min="1" max="1" width="6.85546875" style="1" customWidth="1"/>
    <col min="2" max="2" width="12.85546875" style="1" customWidth="1"/>
    <col min="3" max="3" width="12.140625" style="3" customWidth="1"/>
    <col min="4" max="4" width="46.140625" style="37" customWidth="1"/>
    <col min="5" max="5" width="51.140625" style="26" customWidth="1"/>
    <col min="6" max="7" width="46.140625" style="26" customWidth="1"/>
    <col min="8" max="8" width="11.42578125" style="1"/>
    <col min="9" max="9" width="6.140625" style="1" customWidth="1"/>
    <col min="10" max="16384" width="11.42578125" style="1"/>
  </cols>
  <sheetData>
    <row r="1" spans="1:9" ht="23.25" customHeight="1" thickBot="1" x14ac:dyDescent="0.25">
      <c r="A1" s="28">
        <f>VLOOKUP(C1,H1:I3,2)</f>
        <v>1</v>
      </c>
      <c r="B1" s="29" t="s">
        <v>38</v>
      </c>
      <c r="C1" s="34" t="s">
        <v>43</v>
      </c>
      <c r="D1" s="35"/>
      <c r="E1" s="22" t="s">
        <v>40</v>
      </c>
      <c r="F1" s="17"/>
      <c r="G1" s="17"/>
      <c r="H1" s="18" t="str">
        <f>E3</f>
        <v>deutsch</v>
      </c>
      <c r="I1" s="19">
        <v>1</v>
      </c>
    </row>
    <row r="2" spans="1:9" ht="23.25" customHeight="1" thickBot="1" x14ac:dyDescent="0.25">
      <c r="A2" s="32">
        <v>1</v>
      </c>
      <c r="B2" s="30"/>
      <c r="C2" s="31">
        <v>2025</v>
      </c>
      <c r="D2" s="27" t="s">
        <v>41</v>
      </c>
      <c r="E2" s="18"/>
      <c r="F2" s="17"/>
      <c r="G2" s="17"/>
      <c r="H2" s="18" t="str">
        <f>F3</f>
        <v>französisch</v>
      </c>
      <c r="I2" s="19">
        <v>2</v>
      </c>
    </row>
    <row r="3" spans="1:9" ht="23.25" customHeight="1" x14ac:dyDescent="0.2">
      <c r="A3" s="21"/>
      <c r="B3" s="20"/>
      <c r="C3" s="20" t="s">
        <v>71</v>
      </c>
      <c r="D3" s="36" t="s">
        <v>42</v>
      </c>
      <c r="E3" s="23" t="s">
        <v>43</v>
      </c>
      <c r="F3" s="24" t="s">
        <v>39</v>
      </c>
      <c r="G3" s="25" t="s">
        <v>44</v>
      </c>
      <c r="H3" s="18" t="str">
        <f>G3</f>
        <v>italienisch</v>
      </c>
      <c r="I3" s="19">
        <v>3</v>
      </c>
    </row>
    <row r="4" spans="1:9" ht="23.25" customHeight="1" x14ac:dyDescent="0.2">
      <c r="C4" s="3">
        <v>1</v>
      </c>
      <c r="D4" s="37" t="str">
        <f t="shared" ref="D4:D35" si="0">INDEX($E$4:$G$503,$C4,$A$1)</f>
        <v>Hilfstool zu Vorgaben A1.1, C1.1, C1.4 und C2.1</v>
      </c>
      <c r="E4" s="26" t="s">
        <v>88</v>
      </c>
      <c r="F4" s="26" t="s">
        <v>348</v>
      </c>
      <c r="G4" s="26" t="s">
        <v>183</v>
      </c>
    </row>
    <row r="5" spans="1:9" x14ac:dyDescent="0.2">
      <c r="C5" s="3">
        <v>2</v>
      </c>
      <c r="D5" s="37" t="str">
        <f t="shared" si="0"/>
        <v>Minergie-Areal</v>
      </c>
      <c r="E5" s="26" t="s">
        <v>0</v>
      </c>
      <c r="F5" s="26" t="s">
        <v>349</v>
      </c>
      <c r="G5" s="26" t="s">
        <v>184</v>
      </c>
    </row>
    <row r="6" spans="1:9" x14ac:dyDescent="0.2">
      <c r="C6" s="3">
        <v>3</v>
      </c>
      <c r="D6" s="37" t="str">
        <f t="shared" si="0"/>
        <v>Anleitung</v>
      </c>
      <c r="E6" s="26" t="s">
        <v>45</v>
      </c>
      <c r="F6" s="26" t="s">
        <v>350</v>
      </c>
      <c r="G6" s="26" t="s">
        <v>185</v>
      </c>
    </row>
    <row r="7" spans="1:9" ht="149.1" customHeight="1" x14ac:dyDescent="0.2">
      <c r="C7" s="3">
        <v>4</v>
      </c>
      <c r="D7" s="37" t="str">
        <f t="shared" si="0"/>
        <v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v>
      </c>
      <c r="E7" s="26" t="s">
        <v>562</v>
      </c>
      <c r="F7" s="26" t="s">
        <v>563</v>
      </c>
      <c r="G7" s="26" t="s">
        <v>564</v>
      </c>
    </row>
    <row r="8" spans="1:9" x14ac:dyDescent="0.2">
      <c r="C8" s="3">
        <v>5</v>
      </c>
      <c r="D8" s="37" t="str">
        <f t="shared" si="0"/>
        <v>Eingabefeld</v>
      </c>
      <c r="E8" s="26" t="s">
        <v>180</v>
      </c>
      <c r="F8" s="26" t="s">
        <v>351</v>
      </c>
      <c r="G8" s="26" t="s">
        <v>186</v>
      </c>
    </row>
    <row r="9" spans="1:9" x14ac:dyDescent="0.2">
      <c r="C9" s="3">
        <v>6</v>
      </c>
      <c r="D9" s="37" t="str">
        <f t="shared" si="0"/>
        <v>Übertrag aus Gebäude-Minergie-Nachweis</v>
      </c>
      <c r="E9" s="26" t="s">
        <v>150</v>
      </c>
      <c r="F9" s="26" t="s">
        <v>352</v>
      </c>
      <c r="G9" s="26" t="s">
        <v>187</v>
      </c>
    </row>
    <row r="10" spans="1:9" x14ac:dyDescent="0.2">
      <c r="C10" s="3">
        <v>7</v>
      </c>
      <c r="D10" s="37" t="str">
        <f t="shared" si="0"/>
        <v>Auswahlfeld</v>
      </c>
      <c r="E10" s="26" t="s">
        <v>181</v>
      </c>
      <c r="F10" s="26" t="s">
        <v>353</v>
      </c>
      <c r="G10" s="26" t="s">
        <v>188</v>
      </c>
    </row>
    <row r="11" spans="1:9" x14ac:dyDescent="0.2">
      <c r="C11" s="3">
        <v>8</v>
      </c>
      <c r="D11" s="37" t="str">
        <f t="shared" si="0"/>
        <v>Version</v>
      </c>
      <c r="E11" s="26" t="s">
        <v>46</v>
      </c>
      <c r="F11" s="26" t="s">
        <v>46</v>
      </c>
      <c r="G11" s="26" t="s">
        <v>189</v>
      </c>
    </row>
    <row r="12" spans="1:9" x14ac:dyDescent="0.2">
      <c r="C12" s="3">
        <v>9</v>
      </c>
      <c r="D12" s="37" t="str">
        <f t="shared" si="0"/>
        <v>Kennzahlen</v>
      </c>
      <c r="E12" s="26" t="s">
        <v>1</v>
      </c>
      <c r="F12" s="26" t="s">
        <v>354</v>
      </c>
      <c r="G12" s="26" t="s">
        <v>190</v>
      </c>
    </row>
    <row r="13" spans="1:9" x14ac:dyDescent="0.2">
      <c r="C13" s="3">
        <v>10</v>
      </c>
      <c r="D13" s="37" t="str">
        <f t="shared" si="0"/>
        <v>Gebäude</v>
      </c>
      <c r="E13" s="26" t="s">
        <v>47</v>
      </c>
      <c r="F13" s="26" t="s">
        <v>355</v>
      </c>
      <c r="G13" s="26" t="s">
        <v>191</v>
      </c>
    </row>
    <row r="14" spans="1:9" x14ac:dyDescent="0.2">
      <c r="C14" s="3">
        <v>11</v>
      </c>
      <c r="D14" s="37" t="str">
        <f t="shared" si="0"/>
        <v>Angaben zu den Gebäuden</v>
      </c>
      <c r="E14" s="26" t="s">
        <v>73</v>
      </c>
      <c r="F14" s="26" t="s">
        <v>356</v>
      </c>
      <c r="G14" s="26" t="s">
        <v>192</v>
      </c>
    </row>
    <row r="15" spans="1:9" x14ac:dyDescent="0.2">
      <c r="C15" s="3">
        <v>12</v>
      </c>
      <c r="D15" s="37" t="str">
        <f t="shared" si="0"/>
        <v>Gebäudebezeichnung</v>
      </c>
      <c r="E15" s="26" t="s">
        <v>2</v>
      </c>
      <c r="F15" s="26" t="s">
        <v>357</v>
      </c>
      <c r="G15" s="26" t="s">
        <v>193</v>
      </c>
    </row>
    <row r="16" spans="1:9" x14ac:dyDescent="0.2">
      <c r="C16" s="3">
        <v>13</v>
      </c>
      <c r="D16" s="37" t="str">
        <f t="shared" si="0"/>
        <v>Gebäudekategorie</v>
      </c>
      <c r="E16" s="26" t="s">
        <v>113</v>
      </c>
      <c r="F16" s="26" t="s">
        <v>358</v>
      </c>
      <c r="G16" s="26" t="s">
        <v>194</v>
      </c>
    </row>
    <row r="17" spans="3:7" x14ac:dyDescent="0.2">
      <c r="C17" s="3">
        <v>14</v>
      </c>
      <c r="D17" s="37" t="str">
        <f t="shared" si="0"/>
        <v>Energiebezugsfläche EBF</v>
      </c>
      <c r="E17" s="26" t="s">
        <v>70</v>
      </c>
      <c r="F17" s="26" t="s">
        <v>359</v>
      </c>
      <c r="G17" s="26" t="s">
        <v>195</v>
      </c>
    </row>
    <row r="18" spans="3:7" x14ac:dyDescent="0.2">
      <c r="C18" s="3">
        <v>15</v>
      </c>
      <c r="D18" s="37" t="str">
        <f t="shared" si="0"/>
        <v>Art der Erneuerung der Gebäudehülle</v>
      </c>
      <c r="E18" s="26" t="s">
        <v>559</v>
      </c>
      <c r="F18" s="336" t="s">
        <v>569</v>
      </c>
      <c r="G18" s="336" t="s">
        <v>594</v>
      </c>
    </row>
    <row r="19" spans="3:7" x14ac:dyDescent="0.2">
      <c r="C19" s="3">
        <v>16</v>
      </c>
      <c r="D19" s="37" t="str">
        <f t="shared" si="0"/>
        <v>Minergie-Standard</v>
      </c>
      <c r="E19" s="26" t="s">
        <v>74</v>
      </c>
      <c r="F19" s="26" t="s">
        <v>196</v>
      </c>
      <c r="G19" s="26" t="s">
        <v>196</v>
      </c>
    </row>
    <row r="20" spans="3:7" x14ac:dyDescent="0.2">
      <c r="C20" s="3">
        <v>17</v>
      </c>
      <c r="D20" s="37">
        <f t="shared" si="0"/>
        <v>0</v>
      </c>
    </row>
    <row r="21" spans="3:7" x14ac:dyDescent="0.2">
      <c r="C21" s="3">
        <v>18</v>
      </c>
      <c r="D21" s="37" t="str">
        <f t="shared" si="0"/>
        <v>EBF des rückgebauten Gebäudes</v>
      </c>
      <c r="E21" s="26" t="s">
        <v>57</v>
      </c>
      <c r="F21" s="26" t="s">
        <v>360</v>
      </c>
      <c r="G21" s="26" t="s">
        <v>197</v>
      </c>
    </row>
    <row r="22" spans="3:7" x14ac:dyDescent="0.2">
      <c r="C22" s="3">
        <v>19</v>
      </c>
      <c r="D22" s="37" t="str">
        <f t="shared" si="0"/>
        <v>Alter des rückgebauten Gebäudes</v>
      </c>
      <c r="E22" s="26" t="s">
        <v>56</v>
      </c>
      <c r="F22" s="26" t="s">
        <v>361</v>
      </c>
      <c r="G22" s="26" t="s">
        <v>198</v>
      </c>
    </row>
    <row r="23" spans="3:7" ht="24" x14ac:dyDescent="0.2">
      <c r="C23" s="3">
        <v>20</v>
      </c>
      <c r="D23" s="37" t="str">
        <f t="shared" si="0"/>
        <v>Kompensation von Kennzahlen bei Neubauten und Erneuerungen nach Minergie</v>
      </c>
      <c r="E23" s="26" t="s">
        <v>141</v>
      </c>
      <c r="F23" s="26" t="s">
        <v>362</v>
      </c>
      <c r="G23" s="26" t="s">
        <v>503</v>
      </c>
    </row>
    <row r="24" spans="3:7" x14ac:dyDescent="0.2">
      <c r="C24" s="3">
        <v>21</v>
      </c>
      <c r="D24" s="37" t="str">
        <f t="shared" si="0"/>
        <v>Minergie-Kennzahl (MKZ)</v>
      </c>
      <c r="E24" s="26" t="s">
        <v>37</v>
      </c>
      <c r="F24" s="26" t="s">
        <v>363</v>
      </c>
      <c r="G24" s="26" t="s">
        <v>199</v>
      </c>
    </row>
    <row r="25" spans="3:7" x14ac:dyDescent="0.2">
      <c r="C25" s="3">
        <v>22</v>
      </c>
      <c r="D25" s="37" t="str">
        <f t="shared" si="0"/>
        <v>Heizwärmebedarf (Qh)</v>
      </c>
      <c r="E25" s="26" t="s">
        <v>49</v>
      </c>
      <c r="F25" s="26" t="s">
        <v>364</v>
      </c>
      <c r="G25" s="26" t="s">
        <v>200</v>
      </c>
    </row>
    <row r="26" spans="3:7" x14ac:dyDescent="0.2">
      <c r="C26" s="3">
        <v>23</v>
      </c>
      <c r="D26" s="37" t="str">
        <f t="shared" si="0"/>
        <v>THGE Erstellung</v>
      </c>
      <c r="E26" s="26" t="s">
        <v>50</v>
      </c>
      <c r="F26" s="26" t="s">
        <v>529</v>
      </c>
      <c r="G26" s="26" t="s">
        <v>504</v>
      </c>
    </row>
    <row r="27" spans="3:7" x14ac:dyDescent="0.2">
      <c r="C27" s="3">
        <v>24</v>
      </c>
      <c r="D27" s="37" t="str">
        <f t="shared" si="0"/>
        <v>Eigenstromerzeugung</v>
      </c>
      <c r="E27" s="26" t="s">
        <v>36</v>
      </c>
      <c r="F27" s="26" t="s">
        <v>365</v>
      </c>
      <c r="G27" s="26" t="s">
        <v>201</v>
      </c>
    </row>
    <row r="28" spans="3:7" x14ac:dyDescent="0.2">
      <c r="C28" s="3">
        <v>25</v>
      </c>
      <c r="D28" s="37" t="str">
        <f t="shared" si="0"/>
        <v>Standard</v>
      </c>
      <c r="E28" s="26" t="s">
        <v>14</v>
      </c>
      <c r="F28" s="26" t="s">
        <v>14</v>
      </c>
      <c r="G28" s="26" t="s">
        <v>14</v>
      </c>
    </row>
    <row r="29" spans="3:7" x14ac:dyDescent="0.2">
      <c r="C29" s="3">
        <v>26</v>
      </c>
      <c r="D29" s="37" t="str">
        <f t="shared" si="0"/>
        <v>Minergie-P(-ECO)-Gebäude</v>
      </c>
      <c r="E29" s="26" t="s">
        <v>68</v>
      </c>
      <c r="F29" s="26" t="s">
        <v>366</v>
      </c>
      <c r="G29" s="26" t="s">
        <v>202</v>
      </c>
    </row>
    <row r="30" spans="3:7" x14ac:dyDescent="0.2">
      <c r="C30" s="3">
        <v>27</v>
      </c>
      <c r="D30" s="37" t="str">
        <f t="shared" si="0"/>
        <v>Fläche</v>
      </c>
      <c r="E30" s="26" t="s">
        <v>54</v>
      </c>
      <c r="F30" s="26" t="s">
        <v>367</v>
      </c>
      <c r="G30" s="26" t="s">
        <v>203</v>
      </c>
    </row>
    <row r="31" spans="3:7" x14ac:dyDescent="0.2">
      <c r="C31" s="3">
        <v>28</v>
      </c>
      <c r="D31" s="37" t="str">
        <f t="shared" si="0"/>
        <v>Minergie-A(-ECO)-Gebäude</v>
      </c>
      <c r="E31" s="26" t="s">
        <v>69</v>
      </c>
      <c r="F31" s="26" t="s">
        <v>368</v>
      </c>
      <c r="G31" s="26" t="s">
        <v>204</v>
      </c>
    </row>
    <row r="32" spans="3:7" x14ac:dyDescent="0.2">
      <c r="C32" s="3">
        <v>29</v>
      </c>
      <c r="D32" s="37" t="str">
        <f t="shared" si="0"/>
        <v>Bestandesbauten mit Ausnahmeregelung</v>
      </c>
      <c r="E32" s="26" t="s">
        <v>53</v>
      </c>
      <c r="F32" s="26" t="s">
        <v>369</v>
      </c>
      <c r="G32" s="26" t="s">
        <v>205</v>
      </c>
    </row>
    <row r="33" spans="3:7" x14ac:dyDescent="0.2">
      <c r="C33" s="3">
        <v>30</v>
      </c>
      <c r="D33" s="37" t="str">
        <f t="shared" si="0"/>
        <v>Dachfläche</v>
      </c>
      <c r="E33" s="26" t="s">
        <v>10</v>
      </c>
      <c r="F33" s="26" t="s">
        <v>370</v>
      </c>
      <c r="G33" s="26" t="s">
        <v>206</v>
      </c>
    </row>
    <row r="34" spans="3:7" x14ac:dyDescent="0.2">
      <c r="C34" s="3">
        <v>31</v>
      </c>
      <c r="D34" s="37" t="str">
        <f t="shared" si="0"/>
        <v>Belegung mit PV-Anlage</v>
      </c>
      <c r="E34" s="26" t="s">
        <v>52</v>
      </c>
      <c r="F34" s="26" t="s">
        <v>371</v>
      </c>
      <c r="G34" s="26" t="s">
        <v>207</v>
      </c>
    </row>
    <row r="35" spans="3:7" x14ac:dyDescent="0.2">
      <c r="C35" s="3">
        <v>32</v>
      </c>
      <c r="D35" s="37" t="str">
        <f t="shared" si="0"/>
        <v>Abschlag Rückbau</v>
      </c>
      <c r="E35" s="26" t="s">
        <v>129</v>
      </c>
      <c r="F35" s="26" t="s">
        <v>372</v>
      </c>
      <c r="G35" s="26" t="s">
        <v>208</v>
      </c>
    </row>
    <row r="36" spans="3:7" x14ac:dyDescent="0.2">
      <c r="C36" s="3">
        <v>33</v>
      </c>
      <c r="D36" s="37" t="str">
        <f t="shared" ref="D36:D67" si="1">INDEX($E$4:$G$503,$C36,$A$1)</f>
        <v>Installierte Leistung</v>
      </c>
      <c r="E36" s="26" t="s">
        <v>156</v>
      </c>
      <c r="F36" s="26" t="s">
        <v>373</v>
      </c>
      <c r="G36" s="26" t="s">
        <v>209</v>
      </c>
    </row>
    <row r="37" spans="3:7" x14ac:dyDescent="0.2">
      <c r="C37" s="3">
        <v>34</v>
      </c>
      <c r="D37" s="37" t="str">
        <f t="shared" si="1"/>
        <v>Energiebezugsflächen des Areals</v>
      </c>
      <c r="E37" s="26" t="s">
        <v>178</v>
      </c>
      <c r="F37" s="26" t="s">
        <v>374</v>
      </c>
      <c r="G37" s="26" t="s">
        <v>210</v>
      </c>
    </row>
    <row r="38" spans="3:7" x14ac:dyDescent="0.2">
      <c r="C38" s="3">
        <v>35</v>
      </c>
      <c r="D38" s="37" t="str">
        <f t="shared" si="1"/>
        <v>Summe</v>
      </c>
      <c r="E38" s="26" t="s">
        <v>5</v>
      </c>
      <c r="F38" s="26" t="s">
        <v>375</v>
      </c>
      <c r="G38" s="26" t="s">
        <v>211</v>
      </c>
    </row>
    <row r="39" spans="3:7" x14ac:dyDescent="0.2">
      <c r="C39" s="3">
        <v>36</v>
      </c>
      <c r="D39" s="37" t="str">
        <f t="shared" si="1"/>
        <v>Flächengewichter Durchschnitt</v>
      </c>
      <c r="E39" s="26" t="s">
        <v>8</v>
      </c>
      <c r="F39" s="26" t="s">
        <v>376</v>
      </c>
      <c r="G39" s="26" t="s">
        <v>212</v>
      </c>
    </row>
    <row r="40" spans="3:7" x14ac:dyDescent="0.2">
      <c r="C40" s="3">
        <v>37</v>
      </c>
      <c r="D40" s="37" t="str">
        <f t="shared" si="1"/>
        <v>Anforderung</v>
      </c>
      <c r="E40" s="26" t="s">
        <v>12</v>
      </c>
      <c r="F40" s="26" t="s">
        <v>377</v>
      </c>
      <c r="G40" s="26" t="s">
        <v>213</v>
      </c>
    </row>
    <row r="41" spans="3:7" x14ac:dyDescent="0.2">
      <c r="C41" s="3">
        <v>38</v>
      </c>
      <c r="D41" s="37" t="str">
        <f t="shared" si="1"/>
        <v>Projektwert</v>
      </c>
      <c r="E41" s="26" t="s">
        <v>34</v>
      </c>
      <c r="F41" s="26" t="s">
        <v>378</v>
      </c>
      <c r="G41" s="26" t="s">
        <v>214</v>
      </c>
    </row>
    <row r="42" spans="3:7" ht="24" x14ac:dyDescent="0.2">
      <c r="C42" s="3">
        <v>39</v>
      </c>
      <c r="D42" s="37" t="str">
        <f t="shared" si="1"/>
        <v>Treibhausgasemissionen Erstellung aller Neubauten im Areal</v>
      </c>
      <c r="E42" s="26" t="s">
        <v>162</v>
      </c>
      <c r="F42" s="26" t="s">
        <v>530</v>
      </c>
      <c r="G42" s="26" t="s">
        <v>215</v>
      </c>
    </row>
    <row r="43" spans="3:7" x14ac:dyDescent="0.2">
      <c r="C43" s="3">
        <v>40</v>
      </c>
      <c r="D43" s="37" t="str">
        <f t="shared" si="1"/>
        <v>Areal</v>
      </c>
      <c r="E43" s="26" t="s">
        <v>51</v>
      </c>
      <c r="F43" s="26" t="s">
        <v>379</v>
      </c>
      <c r="G43" s="26" t="s">
        <v>216</v>
      </c>
    </row>
    <row r="44" spans="3:7" x14ac:dyDescent="0.2">
      <c r="C44" s="3">
        <v>41</v>
      </c>
      <c r="D44" s="37" t="str">
        <f t="shared" si="1"/>
        <v>Wohnen MFH</v>
      </c>
      <c r="E44" s="26" t="s">
        <v>3</v>
      </c>
      <c r="F44" s="26" t="s">
        <v>380</v>
      </c>
      <c r="G44" s="26" t="s">
        <v>217</v>
      </c>
    </row>
    <row r="45" spans="3:7" x14ac:dyDescent="0.2">
      <c r="C45" s="3">
        <v>42</v>
      </c>
      <c r="D45" s="37" t="str">
        <f t="shared" si="1"/>
        <v>Wohnen EFH</v>
      </c>
      <c r="E45" s="26" t="s">
        <v>16</v>
      </c>
      <c r="F45" s="26" t="s">
        <v>381</v>
      </c>
      <c r="G45" s="26" t="s">
        <v>218</v>
      </c>
    </row>
    <row r="46" spans="3:7" x14ac:dyDescent="0.2">
      <c r="C46" s="3">
        <v>43</v>
      </c>
      <c r="D46" s="37" t="str">
        <f t="shared" si="1"/>
        <v>Verwaltung</v>
      </c>
      <c r="E46" s="26" t="s">
        <v>17</v>
      </c>
      <c r="F46" s="26" t="s">
        <v>382</v>
      </c>
      <c r="G46" s="26" t="s">
        <v>219</v>
      </c>
    </row>
    <row r="47" spans="3:7" x14ac:dyDescent="0.2">
      <c r="C47" s="3">
        <v>44</v>
      </c>
      <c r="D47" s="37" t="str">
        <f t="shared" si="1"/>
        <v xml:space="preserve">Schulen </v>
      </c>
      <c r="E47" s="26" t="s">
        <v>19</v>
      </c>
      <c r="F47" s="26" t="s">
        <v>383</v>
      </c>
      <c r="G47" s="26" t="s">
        <v>220</v>
      </c>
    </row>
    <row r="48" spans="3:7" x14ac:dyDescent="0.2">
      <c r="C48" s="3">
        <v>45</v>
      </c>
      <c r="D48" s="37" t="str">
        <f t="shared" si="1"/>
        <v>Verkauf</v>
      </c>
      <c r="E48" s="26" t="s">
        <v>21</v>
      </c>
      <c r="F48" s="26" t="s">
        <v>384</v>
      </c>
      <c r="G48" s="26" t="s">
        <v>221</v>
      </c>
    </row>
    <row r="49" spans="3:7" x14ac:dyDescent="0.2">
      <c r="C49" s="3">
        <v>46</v>
      </c>
      <c r="D49" s="37" t="str">
        <f t="shared" si="1"/>
        <v>Restaurant</v>
      </c>
      <c r="E49" s="26" t="s">
        <v>23</v>
      </c>
      <c r="F49" s="26" t="s">
        <v>385</v>
      </c>
      <c r="G49" s="26" t="s">
        <v>222</v>
      </c>
    </row>
    <row r="50" spans="3:7" x14ac:dyDescent="0.2">
      <c r="C50" s="3">
        <v>47</v>
      </c>
      <c r="D50" s="37" t="str">
        <f t="shared" si="1"/>
        <v>Versammlung</v>
      </c>
      <c r="E50" s="26" t="s">
        <v>25</v>
      </c>
      <c r="F50" s="26" t="s">
        <v>386</v>
      </c>
      <c r="G50" s="26" t="s">
        <v>223</v>
      </c>
    </row>
    <row r="51" spans="3:7" x14ac:dyDescent="0.2">
      <c r="C51" s="3">
        <v>48</v>
      </c>
      <c r="D51" s="37" t="str">
        <f t="shared" si="1"/>
        <v>Spitäler</v>
      </c>
      <c r="E51" s="26" t="s">
        <v>26</v>
      </c>
      <c r="F51" s="26" t="s">
        <v>387</v>
      </c>
      <c r="G51" s="26" t="s">
        <v>224</v>
      </c>
    </row>
    <row r="52" spans="3:7" x14ac:dyDescent="0.2">
      <c r="C52" s="3">
        <v>49</v>
      </c>
      <c r="D52" s="37" t="str">
        <f t="shared" si="1"/>
        <v>Industrie</v>
      </c>
      <c r="E52" s="26" t="s">
        <v>27</v>
      </c>
      <c r="F52" s="26" t="s">
        <v>27</v>
      </c>
      <c r="G52" s="26" t="s">
        <v>27</v>
      </c>
    </row>
    <row r="53" spans="3:7" x14ac:dyDescent="0.2">
      <c r="C53" s="3">
        <v>50</v>
      </c>
      <c r="D53" s="37" t="str">
        <f t="shared" si="1"/>
        <v>Lager</v>
      </c>
      <c r="E53" s="26" t="s">
        <v>28</v>
      </c>
      <c r="F53" s="26" t="s">
        <v>388</v>
      </c>
      <c r="G53" s="26" t="s">
        <v>225</v>
      </c>
    </row>
    <row r="54" spans="3:7" x14ac:dyDescent="0.2">
      <c r="C54" s="3">
        <v>51</v>
      </c>
      <c r="D54" s="37" t="str">
        <f t="shared" si="1"/>
        <v>Sportbauten</v>
      </c>
      <c r="E54" s="26" t="s">
        <v>29</v>
      </c>
      <c r="F54" s="26" t="s">
        <v>389</v>
      </c>
      <c r="G54" s="26" t="s">
        <v>226</v>
      </c>
    </row>
    <row r="55" spans="3:7" x14ac:dyDescent="0.2">
      <c r="C55" s="3">
        <v>52</v>
      </c>
      <c r="D55" s="37" t="str">
        <f t="shared" si="1"/>
        <v>Hallenbäder</v>
      </c>
      <c r="E55" s="26" t="s">
        <v>30</v>
      </c>
      <c r="F55" s="26" t="s">
        <v>390</v>
      </c>
      <c r="G55" s="26" t="s">
        <v>227</v>
      </c>
    </row>
    <row r="56" spans="3:7" x14ac:dyDescent="0.2">
      <c r="C56" s="3">
        <v>53</v>
      </c>
      <c r="D56" s="37" t="str">
        <f t="shared" si="1"/>
        <v>Zone</v>
      </c>
      <c r="E56" s="26" t="s">
        <v>114</v>
      </c>
      <c r="F56" s="26" t="s">
        <v>114</v>
      </c>
      <c r="G56" s="26" t="s">
        <v>228</v>
      </c>
    </row>
    <row r="57" spans="3:7" x14ac:dyDescent="0.2">
      <c r="C57" s="3">
        <v>54</v>
      </c>
      <c r="D57" s="37" t="str">
        <f t="shared" si="1"/>
        <v>Minergie</v>
      </c>
      <c r="E57" s="26" t="s">
        <v>15</v>
      </c>
      <c r="F57" s="26" t="s">
        <v>15</v>
      </c>
      <c r="G57" s="26" t="s">
        <v>15</v>
      </c>
    </row>
    <row r="58" spans="3:7" x14ac:dyDescent="0.2">
      <c r="C58" s="3">
        <v>55</v>
      </c>
      <c r="D58" s="37" t="str">
        <f t="shared" si="1"/>
        <v>Minergie-A</v>
      </c>
      <c r="E58" s="26" t="s">
        <v>6</v>
      </c>
      <c r="F58" s="26" t="s">
        <v>6</v>
      </c>
      <c r="G58" s="26" t="s">
        <v>6</v>
      </c>
    </row>
    <row r="59" spans="3:7" x14ac:dyDescent="0.2">
      <c r="C59" s="3">
        <v>56</v>
      </c>
      <c r="D59" s="37" t="str">
        <f t="shared" si="1"/>
        <v>Minergie-P</v>
      </c>
      <c r="E59" s="26" t="s">
        <v>18</v>
      </c>
      <c r="F59" s="26" t="s">
        <v>18</v>
      </c>
      <c r="G59" s="26" t="s">
        <v>18</v>
      </c>
    </row>
    <row r="60" spans="3:7" x14ac:dyDescent="0.2">
      <c r="C60" s="3">
        <v>57</v>
      </c>
      <c r="D60" s="37" t="str">
        <f t="shared" si="1"/>
        <v>Minergie-ECO</v>
      </c>
      <c r="E60" s="26" t="s">
        <v>20</v>
      </c>
      <c r="F60" s="26" t="s">
        <v>20</v>
      </c>
      <c r="G60" s="26" t="s">
        <v>20</v>
      </c>
    </row>
    <row r="61" spans="3:7" x14ac:dyDescent="0.2">
      <c r="C61" s="3">
        <v>58</v>
      </c>
      <c r="D61" s="37" t="str">
        <f t="shared" si="1"/>
        <v>Minergie-A-ECO</v>
      </c>
      <c r="E61" s="26" t="s">
        <v>22</v>
      </c>
      <c r="F61" s="26" t="s">
        <v>22</v>
      </c>
      <c r="G61" s="26" t="s">
        <v>22</v>
      </c>
    </row>
    <row r="62" spans="3:7" x14ac:dyDescent="0.2">
      <c r="C62" s="3">
        <v>59</v>
      </c>
      <c r="D62" s="37" t="str">
        <f t="shared" si="1"/>
        <v>Minergie-P-ECO</v>
      </c>
      <c r="E62" s="26" t="s">
        <v>24</v>
      </c>
      <c r="F62" s="26" t="s">
        <v>24</v>
      </c>
      <c r="G62" s="26" t="s">
        <v>24</v>
      </c>
    </row>
    <row r="63" spans="3:7" x14ac:dyDescent="0.2">
      <c r="C63" s="3">
        <v>60</v>
      </c>
      <c r="D63" s="37" t="str">
        <f t="shared" si="1"/>
        <v>Noch offen</v>
      </c>
      <c r="E63" s="26" t="s">
        <v>31</v>
      </c>
      <c r="F63" s="26" t="s">
        <v>391</v>
      </c>
      <c r="G63" s="26" t="s">
        <v>229</v>
      </c>
    </row>
    <row r="64" spans="3:7" x14ac:dyDescent="0.2">
      <c r="C64" s="3">
        <v>61</v>
      </c>
      <c r="D64" s="37" t="str">
        <f t="shared" si="1"/>
        <v>Neubau nach Minergie</v>
      </c>
      <c r="E64" s="26" t="s">
        <v>541</v>
      </c>
      <c r="F64" s="26" t="s">
        <v>543</v>
      </c>
      <c r="G64" s="26" t="s">
        <v>545</v>
      </c>
    </row>
    <row r="65" spans="3:7" x14ac:dyDescent="0.2">
      <c r="C65" s="3">
        <v>62</v>
      </c>
      <c r="D65" s="37" t="str">
        <f t="shared" si="1"/>
        <v>Ersatzneubau</v>
      </c>
      <c r="E65" s="26" t="s">
        <v>131</v>
      </c>
      <c r="F65" s="26" t="s">
        <v>392</v>
      </c>
      <c r="G65" s="26" t="s">
        <v>230</v>
      </c>
    </row>
    <row r="66" spans="3:7" x14ac:dyDescent="0.2">
      <c r="C66" s="3">
        <v>63</v>
      </c>
      <c r="D66" s="37" t="str">
        <f t="shared" si="1"/>
        <v>berücksichtigen</v>
      </c>
      <c r="E66" s="26" t="s">
        <v>136</v>
      </c>
      <c r="F66" s="26" t="s">
        <v>393</v>
      </c>
      <c r="G66" s="26" t="s">
        <v>231</v>
      </c>
    </row>
    <row r="67" spans="3:7" x14ac:dyDescent="0.2">
      <c r="C67" s="3">
        <v>64</v>
      </c>
      <c r="D67" s="37">
        <f t="shared" si="1"/>
        <v>0</v>
      </c>
    </row>
    <row r="68" spans="3:7" ht="24" x14ac:dyDescent="0.2">
      <c r="C68" s="3">
        <v>65</v>
      </c>
      <c r="D68" s="37" t="str">
        <f t="shared" ref="D68:D99" si="2">INDEX($E$4:$G$503,$C68,$A$1)</f>
        <v>Keine Erneuerung (Gebäude im Schutzinventar)</v>
      </c>
      <c r="E68" s="26" t="s">
        <v>558</v>
      </c>
      <c r="F68" s="336" t="s">
        <v>570</v>
      </c>
      <c r="G68" s="336" t="s">
        <v>571</v>
      </c>
    </row>
    <row r="69" spans="3:7" x14ac:dyDescent="0.2">
      <c r="C69" s="3">
        <v>66</v>
      </c>
      <c r="D69" s="37" t="str">
        <f t="shared" si="2"/>
        <v>Keine Erneuerung (bestehendes Minergie-Zertifikat)</v>
      </c>
      <c r="E69" s="26" t="s">
        <v>557</v>
      </c>
      <c r="F69" s="336" t="s">
        <v>573</v>
      </c>
      <c r="G69" s="336" t="s">
        <v>572</v>
      </c>
    </row>
    <row r="70" spans="3:7" x14ac:dyDescent="0.2">
      <c r="C70" s="3">
        <v>67</v>
      </c>
      <c r="D70" s="37" t="str">
        <f t="shared" si="2"/>
        <v>Erneuerung nach GEAK A/B/C oder SNBS</v>
      </c>
      <c r="E70" s="26" t="s">
        <v>554</v>
      </c>
      <c r="F70" s="336" t="s">
        <v>574</v>
      </c>
      <c r="G70" s="336" t="s">
        <v>575</v>
      </c>
    </row>
    <row r="71" spans="3:7" x14ac:dyDescent="0.2">
      <c r="C71" s="3">
        <v>68</v>
      </c>
      <c r="D71" s="37" t="str">
        <f t="shared" si="2"/>
        <v>Weitere</v>
      </c>
      <c r="E71" s="26" t="s">
        <v>588</v>
      </c>
      <c r="F71" s="26" t="s">
        <v>589</v>
      </c>
      <c r="G71" s="26" t="s">
        <v>590</v>
      </c>
    </row>
    <row r="72" spans="3:7" x14ac:dyDescent="0.2">
      <c r="C72" s="3">
        <v>69</v>
      </c>
      <c r="D72" s="37" t="str">
        <f t="shared" si="2"/>
        <v>Übersicht</v>
      </c>
      <c r="E72" s="26" t="s">
        <v>11</v>
      </c>
      <c r="F72" s="26" t="s">
        <v>394</v>
      </c>
      <c r="G72" s="26" t="s">
        <v>232</v>
      </c>
    </row>
    <row r="73" spans="3:7" x14ac:dyDescent="0.2">
      <c r="C73" s="3">
        <v>70</v>
      </c>
      <c r="D73" s="37" t="str">
        <f t="shared" si="2"/>
        <v>Erfüllt?</v>
      </c>
      <c r="E73" s="26" t="s">
        <v>13</v>
      </c>
      <c r="F73" s="26" t="s">
        <v>395</v>
      </c>
      <c r="G73" s="26" t="s">
        <v>233</v>
      </c>
    </row>
    <row r="74" spans="3:7" x14ac:dyDescent="0.2">
      <c r="C74" s="3">
        <v>71</v>
      </c>
      <c r="D74" s="37" t="str">
        <f t="shared" si="2"/>
        <v>Angaben zu rückgebauten Gebäuden</v>
      </c>
      <c r="E74" s="26" t="s">
        <v>134</v>
      </c>
      <c r="F74" s="26" t="s">
        <v>396</v>
      </c>
      <c r="G74" s="26" t="s">
        <v>234</v>
      </c>
    </row>
    <row r="75" spans="3:7" x14ac:dyDescent="0.2">
      <c r="C75" s="3">
        <v>72</v>
      </c>
      <c r="D75" s="37" t="str">
        <f t="shared" si="2"/>
        <v>THGE in Erstellung des rückgebauten Gebäudes</v>
      </c>
      <c r="E75" s="26" t="s">
        <v>58</v>
      </c>
      <c r="F75" s="26" t="s">
        <v>531</v>
      </c>
      <c r="G75" s="26" t="s">
        <v>235</v>
      </c>
    </row>
    <row r="76" spans="3:7" x14ac:dyDescent="0.2">
      <c r="C76" s="3">
        <v>73</v>
      </c>
      <c r="D76" s="37" t="str">
        <f t="shared" si="2"/>
        <v>Wärmeerzeugung</v>
      </c>
      <c r="E76" s="26" t="s">
        <v>149</v>
      </c>
      <c r="F76" s="26" t="s">
        <v>397</v>
      </c>
      <c r="G76" s="26" t="s">
        <v>285</v>
      </c>
    </row>
    <row r="77" spans="3:7" x14ac:dyDescent="0.2">
      <c r="C77" s="3">
        <v>74</v>
      </c>
      <c r="D77" s="37" t="str">
        <f t="shared" si="2"/>
        <v>Ab- / Zuluft-WP</v>
      </c>
      <c r="E77" s="26" t="s">
        <v>89</v>
      </c>
      <c r="F77" s="26" t="s">
        <v>398</v>
      </c>
      <c r="G77" s="26" t="s">
        <v>236</v>
      </c>
    </row>
    <row r="78" spans="3:7" ht="24" x14ac:dyDescent="0.2">
      <c r="C78" s="3">
        <v>75</v>
      </c>
      <c r="D78" s="37" t="str">
        <f t="shared" si="2"/>
        <v>Abwärme aus Gewerbe-/Klimakälte</v>
      </c>
      <c r="E78" s="26" t="s">
        <v>90</v>
      </c>
      <c r="F78" s="26" t="s">
        <v>532</v>
      </c>
      <c r="G78" s="26" t="s">
        <v>237</v>
      </c>
    </row>
    <row r="79" spans="3:7" x14ac:dyDescent="0.2">
      <c r="C79" s="3">
        <v>76</v>
      </c>
      <c r="D79" s="37" t="str">
        <f t="shared" si="2"/>
        <v>Abwasser-WP</v>
      </c>
      <c r="E79" s="26" t="s">
        <v>91</v>
      </c>
      <c r="F79" s="26" t="s">
        <v>399</v>
      </c>
      <c r="G79" s="26" t="s">
        <v>238</v>
      </c>
    </row>
    <row r="80" spans="3:7" x14ac:dyDescent="0.2">
      <c r="C80" s="3">
        <v>77</v>
      </c>
      <c r="D80" s="37" t="str">
        <f t="shared" si="2"/>
        <v>Elektro-Wassererwärmer</v>
      </c>
      <c r="E80" s="26" t="s">
        <v>61</v>
      </c>
      <c r="F80" s="26" t="s">
        <v>400</v>
      </c>
      <c r="G80" s="26" t="s">
        <v>239</v>
      </c>
    </row>
    <row r="81" spans="3:7" x14ac:dyDescent="0.2">
      <c r="C81" s="3">
        <v>78</v>
      </c>
      <c r="D81" s="37" t="str">
        <f t="shared" si="2"/>
        <v>Erdregister-WP</v>
      </c>
      <c r="E81" s="26" t="s">
        <v>92</v>
      </c>
      <c r="F81" s="26" t="s">
        <v>401</v>
      </c>
      <c r="G81" s="26" t="s">
        <v>240</v>
      </c>
    </row>
    <row r="82" spans="3:7" x14ac:dyDescent="0.2">
      <c r="C82" s="3">
        <v>79</v>
      </c>
      <c r="D82" s="37" t="str">
        <f t="shared" si="2"/>
        <v>Erdsonden-WP</v>
      </c>
      <c r="E82" s="26" t="s">
        <v>93</v>
      </c>
      <c r="F82" s="26" t="s">
        <v>402</v>
      </c>
      <c r="G82" s="26" t="s">
        <v>241</v>
      </c>
    </row>
    <row r="83" spans="3:7" x14ac:dyDescent="0.2">
      <c r="C83" s="3">
        <v>80</v>
      </c>
      <c r="D83" s="37" t="str">
        <f t="shared" si="2"/>
        <v>Fernwärme (&lt;=25% nicht erneuerbar)</v>
      </c>
      <c r="E83" s="26" t="s">
        <v>66</v>
      </c>
      <c r="F83" s="26" t="s">
        <v>403</v>
      </c>
      <c r="G83" s="26" t="s">
        <v>242</v>
      </c>
    </row>
    <row r="84" spans="3:7" x14ac:dyDescent="0.2">
      <c r="C84" s="3">
        <v>81</v>
      </c>
      <c r="D84" s="37" t="str">
        <f t="shared" si="2"/>
        <v>Fernwärme (&lt;=50% nicht erneuerbar)</v>
      </c>
      <c r="E84" s="26" t="s">
        <v>63</v>
      </c>
      <c r="F84" s="26" t="s">
        <v>404</v>
      </c>
      <c r="G84" s="26" t="s">
        <v>243</v>
      </c>
    </row>
    <row r="85" spans="3:7" x14ac:dyDescent="0.2">
      <c r="C85" s="3">
        <v>82</v>
      </c>
      <c r="D85" s="37" t="str">
        <f t="shared" si="2"/>
        <v>Fernwärme (&lt;=75% nicht erneuerbar)</v>
      </c>
      <c r="E85" s="26" t="s">
        <v>65</v>
      </c>
      <c r="F85" s="26" t="s">
        <v>405</v>
      </c>
      <c r="G85" s="26" t="s">
        <v>244</v>
      </c>
    </row>
    <row r="86" spans="3:7" x14ac:dyDescent="0.2">
      <c r="C86" s="3">
        <v>83</v>
      </c>
      <c r="D86" s="37" t="str">
        <f t="shared" si="2"/>
        <v>Fernwärme (&gt;75% nicht erneuerbar)</v>
      </c>
      <c r="E86" s="26" t="s">
        <v>64</v>
      </c>
      <c r="F86" s="26" t="s">
        <v>406</v>
      </c>
      <c r="G86" s="26" t="s">
        <v>245</v>
      </c>
    </row>
    <row r="87" spans="3:7" x14ac:dyDescent="0.2">
      <c r="C87" s="3">
        <v>84</v>
      </c>
      <c r="D87" s="37" t="str">
        <f t="shared" si="2"/>
        <v>Gasfeuerung / Gas-Wassererwärmer</v>
      </c>
      <c r="E87" s="26" t="s">
        <v>94</v>
      </c>
      <c r="F87" s="26" t="s">
        <v>407</v>
      </c>
      <c r="G87" s="26" t="s">
        <v>246</v>
      </c>
    </row>
    <row r="88" spans="3:7" x14ac:dyDescent="0.2">
      <c r="C88" s="3">
        <v>85</v>
      </c>
      <c r="D88" s="37" t="str">
        <f t="shared" si="2"/>
        <v>Gaswärmepumpe</v>
      </c>
      <c r="E88" s="26" t="s">
        <v>95</v>
      </c>
      <c r="F88" s="26" t="s">
        <v>408</v>
      </c>
      <c r="G88" s="26" t="s">
        <v>247</v>
      </c>
    </row>
    <row r="89" spans="3:7" x14ac:dyDescent="0.2">
      <c r="C89" s="3">
        <v>86</v>
      </c>
      <c r="D89" s="37" t="str">
        <f t="shared" si="2"/>
        <v>Grundwasser-WP</v>
      </c>
      <c r="E89" s="26" t="s">
        <v>96</v>
      </c>
      <c r="F89" s="26" t="s">
        <v>409</v>
      </c>
      <c r="G89" s="26" t="s">
        <v>248</v>
      </c>
    </row>
    <row r="90" spans="3:7" x14ac:dyDescent="0.2">
      <c r="C90" s="3">
        <v>87</v>
      </c>
      <c r="D90" s="37" t="str">
        <f t="shared" si="2"/>
        <v>Holzfeuerung</v>
      </c>
      <c r="E90" s="26" t="s">
        <v>59</v>
      </c>
      <c r="F90" s="26" t="s">
        <v>410</v>
      </c>
      <c r="G90" s="26" t="s">
        <v>249</v>
      </c>
    </row>
    <row r="91" spans="3:7" x14ac:dyDescent="0.2">
      <c r="C91" s="3">
        <v>88</v>
      </c>
      <c r="D91" s="37" t="str">
        <f t="shared" si="2"/>
        <v>Kompakt-WP</v>
      </c>
      <c r="E91" s="26" t="s">
        <v>97</v>
      </c>
      <c r="F91" s="26" t="s">
        <v>411</v>
      </c>
      <c r="G91" s="26" t="s">
        <v>250</v>
      </c>
    </row>
    <row r="92" spans="3:7" x14ac:dyDescent="0.2">
      <c r="C92" s="3">
        <v>89</v>
      </c>
      <c r="D92" s="37" t="str">
        <f t="shared" si="2"/>
        <v>Luft-Wärmepumpe</v>
      </c>
      <c r="E92" s="26" t="s">
        <v>98</v>
      </c>
      <c r="F92" s="26" t="s">
        <v>412</v>
      </c>
      <c r="G92" s="26" t="s">
        <v>251</v>
      </c>
    </row>
    <row r="93" spans="3:7" x14ac:dyDescent="0.2">
      <c r="C93" s="3">
        <v>90</v>
      </c>
      <c r="D93" s="37" t="str">
        <f t="shared" si="2"/>
        <v>Ölfeuerung</v>
      </c>
      <c r="E93" s="26" t="s">
        <v>62</v>
      </c>
      <c r="F93" s="26" t="s">
        <v>413</v>
      </c>
      <c r="G93" s="26" t="s">
        <v>252</v>
      </c>
    </row>
    <row r="94" spans="3:7" x14ac:dyDescent="0.2">
      <c r="C94" s="3">
        <v>91</v>
      </c>
      <c r="D94" s="37" t="str">
        <f t="shared" si="2"/>
        <v>Pelletfeuerung</v>
      </c>
      <c r="E94" s="26" t="s">
        <v>60</v>
      </c>
      <c r="F94" s="26" t="s">
        <v>414</v>
      </c>
      <c r="G94" s="26" t="s">
        <v>253</v>
      </c>
    </row>
    <row r="95" spans="3:7" x14ac:dyDescent="0.2">
      <c r="C95" s="3">
        <v>92</v>
      </c>
      <c r="D95" s="37" t="str">
        <f t="shared" si="2"/>
        <v>Solarenergie thermisch</v>
      </c>
      <c r="E95" s="26" t="s">
        <v>99</v>
      </c>
      <c r="F95" s="26" t="s">
        <v>415</v>
      </c>
      <c r="G95" s="26" t="s">
        <v>254</v>
      </c>
    </row>
    <row r="96" spans="3:7" x14ac:dyDescent="0.2">
      <c r="C96" s="3">
        <v>93</v>
      </c>
      <c r="D96" s="37" t="str">
        <f t="shared" si="2"/>
        <v>WKK</v>
      </c>
      <c r="E96" s="26" t="s">
        <v>100</v>
      </c>
      <c r="F96" s="26" t="s">
        <v>416</v>
      </c>
      <c r="G96" s="26" t="s">
        <v>255</v>
      </c>
    </row>
    <row r="97" spans="3:7" x14ac:dyDescent="0.2">
      <c r="C97" s="3">
        <v>94</v>
      </c>
      <c r="D97" s="37" t="str">
        <f t="shared" si="2"/>
        <v>erneuerbar</v>
      </c>
      <c r="E97" s="26" t="s">
        <v>103</v>
      </c>
      <c r="F97" s="26" t="s">
        <v>417</v>
      </c>
      <c r="G97" s="26" t="s">
        <v>256</v>
      </c>
    </row>
    <row r="98" spans="3:7" x14ac:dyDescent="0.2">
      <c r="C98" s="3">
        <v>95</v>
      </c>
      <c r="D98" s="37" t="str">
        <f t="shared" si="2"/>
        <v>Erlaubt im Minergie-Areal?</v>
      </c>
      <c r="E98" s="26" t="s">
        <v>101</v>
      </c>
      <c r="F98" s="26" t="s">
        <v>418</v>
      </c>
      <c r="G98" s="26" t="s">
        <v>257</v>
      </c>
    </row>
    <row r="99" spans="3:7" ht="24" x14ac:dyDescent="0.2">
      <c r="C99" s="3">
        <v>96</v>
      </c>
      <c r="D99" s="37" t="str">
        <f t="shared" si="2"/>
        <v>Haben alle Gebäude eine erneuerbare Wärmeerzeugung (ohne Spitzenlast)?</v>
      </c>
      <c r="E99" s="26" t="s">
        <v>342</v>
      </c>
      <c r="F99" s="26" t="s">
        <v>485</v>
      </c>
      <c r="G99" s="26" t="s">
        <v>505</v>
      </c>
    </row>
    <row r="100" spans="3:7" x14ac:dyDescent="0.2">
      <c r="C100" s="3">
        <v>97</v>
      </c>
      <c r="D100" s="37" t="str">
        <f t="shared" ref="D100:D131" si="3">INDEX($E$4:$G$503,$C100,$A$1)</f>
        <v>Hinweise zum Hilftstool</v>
      </c>
      <c r="E100" s="26" t="s">
        <v>106</v>
      </c>
      <c r="F100" s="26" t="s">
        <v>419</v>
      </c>
      <c r="G100" s="26" t="s">
        <v>258</v>
      </c>
    </row>
    <row r="101" spans="3:7" x14ac:dyDescent="0.2">
      <c r="C101" s="3">
        <v>98</v>
      </c>
      <c r="D101" s="37" t="str">
        <f t="shared" si="3"/>
        <v>nicht erneuerbar</v>
      </c>
      <c r="E101" s="26" t="s">
        <v>104</v>
      </c>
      <c r="F101" s="26" t="s">
        <v>420</v>
      </c>
      <c r="G101" s="26" t="s">
        <v>259</v>
      </c>
    </row>
    <row r="102" spans="3:7" x14ac:dyDescent="0.2">
      <c r="C102" s="3">
        <v>99</v>
      </c>
      <c r="D102" s="37" t="str">
        <f t="shared" si="3"/>
        <v>Mittlerer</v>
      </c>
      <c r="E102" s="26" t="s">
        <v>161</v>
      </c>
      <c r="F102" s="26" t="s">
        <v>421</v>
      </c>
      <c r="G102" s="26" t="s">
        <v>260</v>
      </c>
    </row>
    <row r="103" spans="3:7" ht="108" x14ac:dyDescent="0.2">
      <c r="C103" s="3">
        <v>100</v>
      </c>
      <c r="D103" s="37" t="str">
        <f t="shared" si="3"/>
        <v>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v>
      </c>
      <c r="E103" s="26" t="s">
        <v>566</v>
      </c>
      <c r="F103" s="26" t="s">
        <v>567</v>
      </c>
      <c r="G103" s="26" t="s">
        <v>568</v>
      </c>
    </row>
    <row r="104" spans="3:7" x14ac:dyDescent="0.2">
      <c r="C104" s="3">
        <v>101</v>
      </c>
      <c r="D104" s="37" t="str">
        <f t="shared" si="3"/>
        <v>Tabellenblatt "Eingabe"</v>
      </c>
      <c r="E104" s="26" t="s">
        <v>168</v>
      </c>
      <c r="F104" s="26" t="s">
        <v>422</v>
      </c>
      <c r="G104" s="26" t="s">
        <v>261</v>
      </c>
    </row>
    <row r="105" spans="3:7" x14ac:dyDescent="0.2">
      <c r="C105" s="3">
        <v>102</v>
      </c>
      <c r="D105" s="37" t="str">
        <f t="shared" si="3"/>
        <v>Tabellenblatt "Uebersicht"</v>
      </c>
      <c r="E105" s="26" t="s">
        <v>169</v>
      </c>
      <c r="F105" s="26" t="s">
        <v>527</v>
      </c>
      <c r="G105" s="26" t="s">
        <v>262</v>
      </c>
    </row>
    <row r="106" spans="3:7" ht="48" x14ac:dyDescent="0.2">
      <c r="C106" s="3">
        <v>103</v>
      </c>
      <c r="D106" s="37" t="str">
        <f t="shared" si="3"/>
        <v>Alle Resultate sind auf dem Blatt "Uebersicht" verfügbar. Für die Zertifizierung ist die Unterschrift der Areal-Organisation, respektive der Bauherrschaft, auf dem Tabellenblatt "Uebersicht" erforderlich.</v>
      </c>
      <c r="E106" s="26" t="s">
        <v>107</v>
      </c>
      <c r="F106" s="26" t="s">
        <v>423</v>
      </c>
      <c r="G106" s="26" t="s">
        <v>263</v>
      </c>
    </row>
    <row r="107" spans="3:7" ht="24" x14ac:dyDescent="0.2">
      <c r="C107" s="3">
        <v>104</v>
      </c>
      <c r="D107" s="37" t="str">
        <f t="shared" si="3"/>
        <v>Gebäudekategorie (Hauptnutzung) des rückgebauten Gebäudes</v>
      </c>
      <c r="E107" s="26" t="s">
        <v>108</v>
      </c>
      <c r="F107" s="26" t="s">
        <v>424</v>
      </c>
      <c r="G107" s="26" t="s">
        <v>264</v>
      </c>
    </row>
    <row r="108" spans="3:7" x14ac:dyDescent="0.2">
      <c r="C108" s="3">
        <v>105</v>
      </c>
      <c r="D108" s="37" t="str">
        <f t="shared" si="3"/>
        <v>Mittlere</v>
      </c>
      <c r="E108" s="26" t="s">
        <v>160</v>
      </c>
      <c r="F108" s="26" t="s">
        <v>425</v>
      </c>
      <c r="G108" s="26" t="s">
        <v>265</v>
      </c>
    </row>
    <row r="109" spans="3:7" x14ac:dyDescent="0.2">
      <c r="C109" s="3">
        <v>106</v>
      </c>
      <c r="D109" s="37" t="str">
        <f t="shared" si="3"/>
        <v>Neubau</v>
      </c>
      <c r="E109" s="26" t="s">
        <v>115</v>
      </c>
      <c r="F109" s="26" t="s">
        <v>426</v>
      </c>
      <c r="G109" s="26" t="s">
        <v>266</v>
      </c>
    </row>
    <row r="110" spans="3:7" x14ac:dyDescent="0.2">
      <c r="C110" s="3">
        <v>107</v>
      </c>
      <c r="D110" s="37" t="str">
        <f t="shared" si="3"/>
        <v>Ja</v>
      </c>
      <c r="E110" s="26" t="s">
        <v>116</v>
      </c>
      <c r="F110" s="26" t="s">
        <v>427</v>
      </c>
      <c r="G110" s="26" t="s">
        <v>267</v>
      </c>
    </row>
    <row r="111" spans="3:7" x14ac:dyDescent="0.2">
      <c r="C111" s="3">
        <v>108</v>
      </c>
      <c r="D111" s="37" t="str">
        <f t="shared" si="3"/>
        <v>Nein</v>
      </c>
      <c r="E111" s="26" t="s">
        <v>117</v>
      </c>
      <c r="F111" s="26" t="s">
        <v>428</v>
      </c>
      <c r="G111" s="26" t="s">
        <v>268</v>
      </c>
    </row>
    <row r="112" spans="3:7" x14ac:dyDescent="0.2">
      <c r="C112" s="3">
        <v>109</v>
      </c>
      <c r="D112" s="37" t="str">
        <f t="shared" si="3"/>
        <v>Geschossfläche</v>
      </c>
      <c r="E112" s="26" t="s">
        <v>118</v>
      </c>
      <c r="F112" s="26" t="s">
        <v>533</v>
      </c>
      <c r="G112" s="26" t="s">
        <v>269</v>
      </c>
    </row>
    <row r="113" spans="3:7" x14ac:dyDescent="0.2">
      <c r="C113" s="3">
        <v>110</v>
      </c>
      <c r="D113" s="37" t="str">
        <f t="shared" si="3"/>
        <v>Fläche thermische Solarkollektoren</v>
      </c>
      <c r="E113" s="26" t="s">
        <v>119</v>
      </c>
      <c r="F113" s="26" t="s">
        <v>429</v>
      </c>
      <c r="G113" s="26" t="s">
        <v>270</v>
      </c>
    </row>
    <row r="114" spans="3:7" x14ac:dyDescent="0.2">
      <c r="C114" s="3">
        <v>111</v>
      </c>
      <c r="D114" s="37" t="str">
        <f t="shared" si="3"/>
        <v>Zuschläge und Abschläge ganzes Gebäude</v>
      </c>
      <c r="E114" s="26" t="s">
        <v>158</v>
      </c>
      <c r="F114" s="26" t="s">
        <v>430</v>
      </c>
      <c r="G114" s="26" t="s">
        <v>271</v>
      </c>
    </row>
    <row r="115" spans="3:7" x14ac:dyDescent="0.2">
      <c r="C115" s="3">
        <v>112</v>
      </c>
      <c r="D115" s="37" t="str">
        <f t="shared" si="3"/>
        <v>PV-Anlage</v>
      </c>
      <c r="E115" s="26" t="s">
        <v>120</v>
      </c>
      <c r="F115" s="26" t="s">
        <v>431</v>
      </c>
      <c r="G115" s="26" t="s">
        <v>272</v>
      </c>
    </row>
    <row r="116" spans="3:7" x14ac:dyDescent="0.2">
      <c r="C116" s="3">
        <v>113</v>
      </c>
      <c r="D116" s="37" t="str">
        <f t="shared" si="3"/>
        <v>Thermische Solarkollektoren</v>
      </c>
      <c r="E116" s="26" t="s">
        <v>121</v>
      </c>
      <c r="F116" s="26" t="s">
        <v>432</v>
      </c>
      <c r="G116" s="26" t="s">
        <v>273</v>
      </c>
    </row>
    <row r="117" spans="3:7" x14ac:dyDescent="0.2">
      <c r="C117" s="3">
        <v>114</v>
      </c>
      <c r="D117" s="37" t="str">
        <f t="shared" si="3"/>
        <v>Erdsonde</v>
      </c>
      <c r="E117" s="26" t="s">
        <v>122</v>
      </c>
      <c r="F117" s="26" t="s">
        <v>433</v>
      </c>
      <c r="G117" s="26" t="s">
        <v>274</v>
      </c>
    </row>
    <row r="118" spans="3:7" x14ac:dyDescent="0.2">
      <c r="C118" s="3">
        <v>115</v>
      </c>
      <c r="D118" s="37" t="str">
        <f t="shared" si="3"/>
        <v>total</v>
      </c>
      <c r="E118" s="26" t="s">
        <v>126</v>
      </c>
      <c r="F118" s="26" t="s">
        <v>126</v>
      </c>
      <c r="G118" s="26" t="s">
        <v>275</v>
      </c>
    </row>
    <row r="119" spans="3:7" x14ac:dyDescent="0.2">
      <c r="C119" s="3">
        <v>116</v>
      </c>
      <c r="D119" s="37" t="str">
        <f t="shared" si="3"/>
        <v>Basisgrenzwert THGE EBF</v>
      </c>
      <c r="E119" s="26" t="s">
        <v>127</v>
      </c>
      <c r="F119" s="26" t="s">
        <v>434</v>
      </c>
      <c r="G119" s="26" t="s">
        <v>276</v>
      </c>
    </row>
    <row r="120" spans="3:7" x14ac:dyDescent="0.2">
      <c r="C120" s="3">
        <v>117</v>
      </c>
      <c r="D120" s="37" t="str">
        <f t="shared" si="3"/>
        <v>Basisgrenzwert THGE GF-EBF</v>
      </c>
      <c r="E120" s="26" t="s">
        <v>128</v>
      </c>
      <c r="F120" s="26" t="s">
        <v>435</v>
      </c>
      <c r="G120" s="26" t="s">
        <v>277</v>
      </c>
    </row>
    <row r="121" spans="3:7" x14ac:dyDescent="0.2">
      <c r="C121" s="3">
        <v>118</v>
      </c>
      <c r="D121" s="37" t="str">
        <f t="shared" si="3"/>
        <v>Zuschlag</v>
      </c>
      <c r="E121" s="26" t="s">
        <v>157</v>
      </c>
      <c r="F121" s="26" t="s">
        <v>436</v>
      </c>
      <c r="G121" s="26" t="s">
        <v>278</v>
      </c>
    </row>
    <row r="122" spans="3:7" x14ac:dyDescent="0.2">
      <c r="C122" s="3">
        <v>119</v>
      </c>
      <c r="D122" s="37" t="str">
        <f t="shared" si="3"/>
        <v>Wird ein Bestandesbau rückgebaut?</v>
      </c>
      <c r="E122" s="26" t="s">
        <v>171</v>
      </c>
      <c r="F122" s="26" t="s">
        <v>437</v>
      </c>
      <c r="G122" s="26" t="s">
        <v>279</v>
      </c>
    </row>
    <row r="123" spans="3:7" x14ac:dyDescent="0.2">
      <c r="C123" s="3">
        <v>120</v>
      </c>
      <c r="D123" s="37" t="str">
        <f t="shared" si="3"/>
        <v>Keine (Ersatz)neubauten</v>
      </c>
      <c r="E123" s="26" t="s">
        <v>110</v>
      </c>
      <c r="F123" s="26" t="s">
        <v>438</v>
      </c>
      <c r="G123" s="26" t="s">
        <v>280</v>
      </c>
    </row>
    <row r="124" spans="3:7" x14ac:dyDescent="0.2">
      <c r="C124" s="3">
        <v>121</v>
      </c>
      <c r="D124" s="37" t="str">
        <f t="shared" si="3"/>
        <v>Berücksichtigte EBF</v>
      </c>
      <c r="E124" s="26" t="s">
        <v>67</v>
      </c>
      <c r="F124" s="26" t="s">
        <v>439</v>
      </c>
      <c r="G124" s="26" t="s">
        <v>281</v>
      </c>
    </row>
    <row r="125" spans="3:7" ht="24" x14ac:dyDescent="0.2">
      <c r="C125" s="3">
        <v>122</v>
      </c>
      <c r="D125" s="37" t="str">
        <f t="shared" si="3"/>
        <v>Mit dem + in der Spaltenüberschrift weitere Gebäude einfügen</v>
      </c>
      <c r="E125" s="26" t="s">
        <v>112</v>
      </c>
      <c r="F125" s="26" t="s">
        <v>440</v>
      </c>
      <c r="G125" s="26" t="s">
        <v>282</v>
      </c>
    </row>
    <row r="126" spans="3:7" ht="24" x14ac:dyDescent="0.2">
      <c r="C126" s="3">
        <v>123</v>
      </c>
      <c r="D126" s="37" t="str">
        <f t="shared" si="3"/>
        <v>Werden Qh und MKZ zwischen Minergie-Gebäuden kompensiert?</v>
      </c>
      <c r="E126" s="26" t="s">
        <v>75</v>
      </c>
      <c r="F126" s="26" t="s">
        <v>441</v>
      </c>
      <c r="G126" s="26" t="s">
        <v>283</v>
      </c>
    </row>
    <row r="127" spans="3:7" ht="24" x14ac:dyDescent="0.2">
      <c r="C127" s="3">
        <v>124</v>
      </c>
      <c r="D127" s="37" t="str">
        <f t="shared" si="3"/>
        <v>Übertrag aus Gebäude-Minergie-Nachweis (Pflicht bei Kompensation)</v>
      </c>
      <c r="E127" s="26" t="s">
        <v>72</v>
      </c>
      <c r="F127" s="26" t="s">
        <v>442</v>
      </c>
      <c r="G127" s="26" t="s">
        <v>284</v>
      </c>
    </row>
    <row r="128" spans="3:7" x14ac:dyDescent="0.2">
      <c r="C128" s="3">
        <v>125</v>
      </c>
      <c r="D128" s="37" t="str">
        <f t="shared" si="3"/>
        <v>Keine Erneuerung (ohne Grund)</v>
      </c>
      <c r="E128" s="26" t="s">
        <v>553</v>
      </c>
      <c r="F128" s="336" t="s">
        <v>576</v>
      </c>
      <c r="G128" s="336" t="s">
        <v>577</v>
      </c>
    </row>
    <row r="129" spans="3:7" x14ac:dyDescent="0.2">
      <c r="C129" s="3">
        <v>126</v>
      </c>
      <c r="D129" s="37" t="str">
        <f t="shared" si="3"/>
        <v>Effizienz Solarthermie / PV</v>
      </c>
      <c r="E129" s="26" t="s">
        <v>340</v>
      </c>
      <c r="F129" s="26" t="s">
        <v>486</v>
      </c>
      <c r="G129" s="26" t="s">
        <v>506</v>
      </c>
    </row>
    <row r="130" spans="3:7" x14ac:dyDescent="0.2">
      <c r="C130" s="3">
        <v>127</v>
      </c>
      <c r="D130" s="37" t="str">
        <f t="shared" si="3"/>
        <v>Gebäude-ID gemäss Label-Plattform</v>
      </c>
      <c r="E130" s="26" t="s">
        <v>547</v>
      </c>
      <c r="F130" s="26" t="s">
        <v>548</v>
      </c>
      <c r="G130" s="26" t="s">
        <v>565</v>
      </c>
    </row>
    <row r="131" spans="3:7" x14ac:dyDescent="0.2">
      <c r="C131" s="3">
        <v>128</v>
      </c>
      <c r="D131" s="37" t="str">
        <f t="shared" si="3"/>
        <v>Eingabe</v>
      </c>
      <c r="E131" s="26" t="s">
        <v>170</v>
      </c>
      <c r="F131" s="26" t="s">
        <v>443</v>
      </c>
      <c r="G131" s="26" t="s">
        <v>286</v>
      </c>
    </row>
    <row r="132" spans="3:7" x14ac:dyDescent="0.2">
      <c r="C132" s="3">
        <v>129</v>
      </c>
      <c r="D132" s="37" t="str">
        <f t="shared" ref="D132:D163" si="4">INDEX($E$4:$G$503,$C132,$A$1)</f>
        <v>Neubauten nach Minergie</v>
      </c>
      <c r="E132" s="26" t="s">
        <v>163</v>
      </c>
      <c r="F132" s="26" t="s">
        <v>444</v>
      </c>
      <c r="G132" s="26" t="s">
        <v>287</v>
      </c>
    </row>
    <row r="133" spans="3:7" x14ac:dyDescent="0.2">
      <c r="C133" s="3">
        <v>130</v>
      </c>
      <c r="D133" s="37" t="str">
        <f t="shared" si="4"/>
        <v>C1.4 Nutzung solare Energie</v>
      </c>
      <c r="E133" s="26" t="s">
        <v>76</v>
      </c>
      <c r="F133" s="26" t="s">
        <v>445</v>
      </c>
      <c r="G133" s="26" t="s">
        <v>288</v>
      </c>
    </row>
    <row r="134" spans="3:7" x14ac:dyDescent="0.2">
      <c r="C134" s="3">
        <v>131</v>
      </c>
      <c r="D134" s="37" t="str">
        <f t="shared" si="4"/>
        <v>C2.1 Treibhausgasemissionen in der Erstellung</v>
      </c>
      <c r="E134" s="26" t="s">
        <v>77</v>
      </c>
      <c r="F134" s="26" t="s">
        <v>446</v>
      </c>
      <c r="G134" s="26" t="s">
        <v>289</v>
      </c>
    </row>
    <row r="135" spans="3:7" ht="24" x14ac:dyDescent="0.2">
      <c r="C135" s="3">
        <v>132</v>
      </c>
      <c r="D135" s="37" t="str">
        <f t="shared" si="4"/>
        <v>Anteil Bestandesbauten mit Ausnahmeregelung</v>
      </c>
      <c r="E135" s="26" t="s">
        <v>155</v>
      </c>
      <c r="F135" s="26" t="s">
        <v>447</v>
      </c>
      <c r="G135" s="26" t="s">
        <v>290</v>
      </c>
    </row>
    <row r="136" spans="3:7" ht="24" x14ac:dyDescent="0.2">
      <c r="C136" s="3">
        <v>133</v>
      </c>
      <c r="D136" s="37" t="str">
        <f t="shared" si="4"/>
        <v>Erfüllung der Anforderungen Minergie-Areal Themen  A und C</v>
      </c>
      <c r="E136" s="26" t="s">
        <v>111</v>
      </c>
      <c r="F136" s="26" t="s">
        <v>448</v>
      </c>
      <c r="G136" s="26" t="s">
        <v>291</v>
      </c>
    </row>
    <row r="137" spans="3:7" ht="24" x14ac:dyDescent="0.2">
      <c r="C137" s="3">
        <v>134</v>
      </c>
      <c r="D137" s="37" t="str">
        <f t="shared" si="4"/>
        <v>Erfüllung der Anforderungen im Fall von Kompensation zwischen Minergie-Gebäuden</v>
      </c>
      <c r="E137" s="26" t="s">
        <v>78</v>
      </c>
      <c r="F137" s="26" t="s">
        <v>449</v>
      </c>
      <c r="G137" s="26" t="s">
        <v>292</v>
      </c>
    </row>
    <row r="138" spans="3:7" x14ac:dyDescent="0.2">
      <c r="C138" s="3">
        <v>135</v>
      </c>
      <c r="D138" s="37" t="str">
        <f t="shared" si="4"/>
        <v>Das Total der EBF-Anteile muss 100% ergeben!</v>
      </c>
      <c r="E138" s="26" t="s">
        <v>334</v>
      </c>
      <c r="F138" s="26" t="s">
        <v>487</v>
      </c>
      <c r="G138" s="26" t="s">
        <v>507</v>
      </c>
    </row>
    <row r="139" spans="3:7" x14ac:dyDescent="0.2">
      <c r="C139" s="3">
        <v>136</v>
      </c>
      <c r="D139" s="37" t="str">
        <f t="shared" si="4"/>
        <v>Fehlende Eingabe</v>
      </c>
      <c r="E139" s="26" t="s">
        <v>138</v>
      </c>
      <c r="F139" s="26" t="s">
        <v>450</v>
      </c>
      <c r="G139" s="26" t="s">
        <v>293</v>
      </c>
    </row>
    <row r="140" spans="3:7" x14ac:dyDescent="0.2">
      <c r="C140" s="3">
        <v>137</v>
      </c>
      <c r="D140" s="37" t="str">
        <f t="shared" si="4"/>
        <v>Pflichtvorgaben Minergie-Areal</v>
      </c>
      <c r="E140" s="26" t="s">
        <v>79</v>
      </c>
      <c r="F140" s="26" t="s">
        <v>451</v>
      </c>
      <c r="G140" s="26" t="s">
        <v>294</v>
      </c>
    </row>
    <row r="141" spans="3:7" x14ac:dyDescent="0.2">
      <c r="C141" s="3">
        <v>138</v>
      </c>
      <c r="D141" s="37" t="str">
        <f t="shared" si="4"/>
        <v>Liste</v>
      </c>
      <c r="E141" s="26" t="s">
        <v>80</v>
      </c>
      <c r="F141" s="26" t="s">
        <v>80</v>
      </c>
      <c r="G141" s="26" t="s">
        <v>295</v>
      </c>
    </row>
    <row r="142" spans="3:7" x14ac:dyDescent="0.2">
      <c r="C142" s="3">
        <v>139</v>
      </c>
      <c r="D142" s="37" t="str">
        <f t="shared" si="4"/>
        <v>Kompensation</v>
      </c>
      <c r="E142" s="26" t="s">
        <v>137</v>
      </c>
      <c r="F142" s="26" t="s">
        <v>452</v>
      </c>
      <c r="G142" s="26" t="s">
        <v>296</v>
      </c>
    </row>
    <row r="143" spans="3:7" x14ac:dyDescent="0.2">
      <c r="C143" s="3">
        <v>140</v>
      </c>
      <c r="D143" s="37" t="str">
        <f t="shared" si="4"/>
        <v>Systemerneuerung nach Minergie</v>
      </c>
      <c r="E143" s="26" t="s">
        <v>55</v>
      </c>
      <c r="F143" s="26" t="s">
        <v>453</v>
      </c>
      <c r="G143" s="26" t="s">
        <v>297</v>
      </c>
    </row>
    <row r="144" spans="3:7" x14ac:dyDescent="0.2">
      <c r="C144" s="3">
        <v>141</v>
      </c>
      <c r="D144" s="37" t="str">
        <f t="shared" si="4"/>
        <v>Keine Minergie-A(-ECO)-Gebäude</v>
      </c>
      <c r="E144" s="26" t="s">
        <v>81</v>
      </c>
      <c r="F144" s="26" t="s">
        <v>454</v>
      </c>
      <c r="G144" s="26" t="s">
        <v>298</v>
      </c>
    </row>
    <row r="145" spans="3:7" x14ac:dyDescent="0.2">
      <c r="C145" s="3">
        <v>142</v>
      </c>
      <c r="D145" s="37" t="str">
        <f t="shared" si="4"/>
        <v>Keine Minergie-P(-ECO)-Gebäude</v>
      </c>
      <c r="E145" s="26" t="s">
        <v>82</v>
      </c>
      <c r="F145" s="26" t="s">
        <v>455</v>
      </c>
      <c r="G145" s="26" t="s">
        <v>299</v>
      </c>
    </row>
    <row r="146" spans="3:7" ht="24" x14ac:dyDescent="0.2">
      <c r="C146" s="3">
        <v>143</v>
      </c>
      <c r="D146" s="37" t="str">
        <f t="shared" si="4"/>
        <v>Erneuerungen nach Minergie (inkl. Systemerneuerungen)</v>
      </c>
      <c r="E146" s="26" t="s">
        <v>164</v>
      </c>
      <c r="F146" s="26" t="s">
        <v>456</v>
      </c>
      <c r="G146" s="26" t="s">
        <v>508</v>
      </c>
    </row>
    <row r="147" spans="3:7" x14ac:dyDescent="0.2">
      <c r="C147" s="3">
        <v>144</v>
      </c>
      <c r="D147" s="37" t="str">
        <f t="shared" si="4"/>
        <v>Zertifikatsnummer</v>
      </c>
      <c r="E147" s="26" t="s">
        <v>109</v>
      </c>
      <c r="F147" s="26" t="s">
        <v>457</v>
      </c>
      <c r="G147" s="26" t="s">
        <v>300</v>
      </c>
    </row>
    <row r="148" spans="3:7" ht="36" x14ac:dyDescent="0.2">
      <c r="C148" s="3">
        <v>145</v>
      </c>
      <c r="D148" s="37" t="str">
        <f t="shared" si="4"/>
        <v>Die Bauherrschaft / Areal-Organisation bestätigt, dass die gemachten Angaben im vorliegenden Hilfstool korrekt sind.</v>
      </c>
      <c r="E148" s="26" t="s">
        <v>87</v>
      </c>
      <c r="F148" s="26" t="s">
        <v>458</v>
      </c>
      <c r="G148" s="26" t="s">
        <v>301</v>
      </c>
    </row>
    <row r="149" spans="3:7" x14ac:dyDescent="0.2">
      <c r="C149" s="3">
        <v>146</v>
      </c>
      <c r="D149" s="37" t="str">
        <f t="shared" si="4"/>
        <v>Unterschrift</v>
      </c>
      <c r="E149" s="26" t="s">
        <v>83</v>
      </c>
      <c r="F149" s="26" t="s">
        <v>459</v>
      </c>
      <c r="G149" s="26" t="s">
        <v>302</v>
      </c>
    </row>
    <row r="150" spans="3:7" x14ac:dyDescent="0.2">
      <c r="C150" s="3">
        <v>147</v>
      </c>
      <c r="D150" s="37" t="str">
        <f t="shared" si="4"/>
        <v>Ort</v>
      </c>
      <c r="E150" s="26" t="s">
        <v>84</v>
      </c>
      <c r="F150" s="26" t="s">
        <v>460</v>
      </c>
      <c r="G150" s="26" t="s">
        <v>303</v>
      </c>
    </row>
    <row r="151" spans="3:7" x14ac:dyDescent="0.2">
      <c r="C151" s="3">
        <v>148</v>
      </c>
      <c r="D151" s="37" t="str">
        <f t="shared" si="4"/>
        <v>Datum</v>
      </c>
      <c r="E151" s="26" t="s">
        <v>85</v>
      </c>
      <c r="F151" s="26" t="s">
        <v>461</v>
      </c>
      <c r="G151" s="26" t="s">
        <v>304</v>
      </c>
    </row>
    <row r="152" spans="3:7" x14ac:dyDescent="0.2">
      <c r="C152" s="3">
        <v>149</v>
      </c>
      <c r="D152" s="37" t="str">
        <f t="shared" si="4"/>
        <v>Name und Vorname</v>
      </c>
      <c r="E152" s="26" t="s">
        <v>86</v>
      </c>
      <c r="F152" s="26" t="s">
        <v>462</v>
      </c>
      <c r="G152" s="26" t="s">
        <v>305</v>
      </c>
    </row>
    <row r="153" spans="3:7" ht="24" x14ac:dyDescent="0.2">
      <c r="C153" s="3">
        <v>150</v>
      </c>
      <c r="D153" s="37" t="str">
        <f t="shared" si="4"/>
        <v>Keine Bestandesbauten mit Ausnahmeregelung</v>
      </c>
      <c r="E153" s="26" t="s">
        <v>105</v>
      </c>
      <c r="F153" s="26" t="s">
        <v>463</v>
      </c>
      <c r="G153" s="26" t="s">
        <v>306</v>
      </c>
    </row>
    <row r="154" spans="3:7" x14ac:dyDescent="0.2">
      <c r="C154" s="3">
        <v>151</v>
      </c>
      <c r="D154" s="37" t="str">
        <f t="shared" si="4"/>
        <v>warm</v>
      </c>
      <c r="E154" s="26" t="s">
        <v>143</v>
      </c>
      <c r="F154" s="26" t="s">
        <v>464</v>
      </c>
      <c r="G154" s="26" t="s">
        <v>307</v>
      </c>
    </row>
    <row r="155" spans="3:7" x14ac:dyDescent="0.2">
      <c r="C155" s="3">
        <v>152</v>
      </c>
      <c r="D155" s="37" t="str">
        <f t="shared" si="4"/>
        <v>kalt</v>
      </c>
      <c r="E155" s="26" t="s">
        <v>144</v>
      </c>
      <c r="F155" s="26" t="s">
        <v>465</v>
      </c>
      <c r="G155" s="26" t="s">
        <v>308</v>
      </c>
    </row>
    <row r="156" spans="3:7" ht="24" x14ac:dyDescent="0.2">
      <c r="C156" s="3">
        <v>153</v>
      </c>
      <c r="D156" s="37" t="str">
        <f t="shared" si="4"/>
        <v>Angaben bei Neubauten nach Minergie</v>
      </c>
      <c r="E156" s="26" t="s">
        <v>550</v>
      </c>
      <c r="F156" s="26" t="s">
        <v>551</v>
      </c>
      <c r="G156" s="26" t="s">
        <v>552</v>
      </c>
    </row>
    <row r="157" spans="3:7" x14ac:dyDescent="0.2">
      <c r="C157" s="3">
        <v>154</v>
      </c>
      <c r="D157" s="37" t="str">
        <f t="shared" si="4"/>
        <v>Bestandesbauten</v>
      </c>
      <c r="E157" s="26" t="s">
        <v>139</v>
      </c>
      <c r="F157" s="26" t="s">
        <v>466</v>
      </c>
      <c r="G157" s="26" t="s">
        <v>309</v>
      </c>
    </row>
    <row r="158" spans="3:7" x14ac:dyDescent="0.2">
      <c r="C158" s="3">
        <v>155</v>
      </c>
      <c r="D158" s="37" t="str">
        <f t="shared" si="4"/>
        <v>Berechnungen</v>
      </c>
      <c r="E158" s="26" t="s">
        <v>140</v>
      </c>
      <c r="F158" s="26" t="s">
        <v>467</v>
      </c>
      <c r="G158" s="26" t="s">
        <v>310</v>
      </c>
    </row>
    <row r="159" spans="3:7" x14ac:dyDescent="0.2">
      <c r="C159" s="3">
        <v>156</v>
      </c>
      <c r="D159" s="37" t="str">
        <f t="shared" si="4"/>
        <v>EBF</v>
      </c>
      <c r="E159" s="26" t="s">
        <v>130</v>
      </c>
      <c r="F159" s="26" t="s">
        <v>468</v>
      </c>
      <c r="G159" s="26" t="s">
        <v>311</v>
      </c>
    </row>
    <row r="160" spans="3:7" x14ac:dyDescent="0.2">
      <c r="C160" s="3">
        <v>157</v>
      </c>
      <c r="D160" s="37" t="str">
        <f t="shared" si="4"/>
        <v>GF - EBF</v>
      </c>
      <c r="E160" s="316" t="s">
        <v>142</v>
      </c>
      <c r="F160" s="26" t="s">
        <v>469</v>
      </c>
      <c r="G160" s="26" t="s">
        <v>312</v>
      </c>
    </row>
    <row r="161" spans="3:7" ht="24" x14ac:dyDescent="0.2">
      <c r="C161" s="3">
        <v>158</v>
      </c>
      <c r="D161" s="37" t="str">
        <f t="shared" si="4"/>
        <v>Angaben bei Bestandesbauten mit Ausnahmeregelung</v>
      </c>
      <c r="E161" s="26" t="s">
        <v>147</v>
      </c>
      <c r="F161" s="26" t="s">
        <v>470</v>
      </c>
      <c r="G161" s="26" t="s">
        <v>313</v>
      </c>
    </row>
    <row r="162" spans="3:7" x14ac:dyDescent="0.2">
      <c r="C162" s="3">
        <v>159</v>
      </c>
      <c r="D162" s="37" t="str">
        <f t="shared" si="4"/>
        <v>Treibhausgase in der Erstellung</v>
      </c>
      <c r="E162" s="26" t="s">
        <v>148</v>
      </c>
      <c r="F162" s="26" t="s">
        <v>529</v>
      </c>
      <c r="G162" s="26" t="s">
        <v>314</v>
      </c>
    </row>
    <row r="163" spans="3:7" x14ac:dyDescent="0.2">
      <c r="C163" s="3">
        <v>160</v>
      </c>
      <c r="D163" s="37" t="str">
        <f t="shared" si="4"/>
        <v>Eingabefeld (Freiwillig)</v>
      </c>
      <c r="E163" s="26" t="s">
        <v>135</v>
      </c>
      <c r="F163" s="26" t="s">
        <v>471</v>
      </c>
      <c r="G163" s="26" t="s">
        <v>315</v>
      </c>
    </row>
    <row r="164" spans="3:7" x14ac:dyDescent="0.2">
      <c r="C164" s="3">
        <v>161</v>
      </c>
      <c r="D164" s="37" t="str">
        <f t="shared" ref="D164:D208" si="5">INDEX($E$4:$G$503,$C164,$A$1)</f>
        <v>Standardwert</v>
      </c>
      <c r="E164" s="26" t="s">
        <v>151</v>
      </c>
      <c r="F164" s="26" t="s">
        <v>472</v>
      </c>
      <c r="G164" s="26" t="s">
        <v>316</v>
      </c>
    </row>
    <row r="165" spans="3:7" x14ac:dyDescent="0.2">
      <c r="C165" s="3">
        <v>162</v>
      </c>
      <c r="D165" s="37" t="str">
        <f t="shared" si="5"/>
        <v>Standardwert überschreiben</v>
      </c>
      <c r="E165" s="26" t="s">
        <v>152</v>
      </c>
      <c r="F165" s="26" t="s">
        <v>473</v>
      </c>
      <c r="G165" s="26" t="s">
        <v>317</v>
      </c>
    </row>
    <row r="166" spans="3:7" x14ac:dyDescent="0.2">
      <c r="C166" s="3">
        <v>163</v>
      </c>
      <c r="D166" s="37" t="str">
        <f t="shared" si="5"/>
        <v>kgCO2eq/m2 EBF Neubau</v>
      </c>
      <c r="E166" s="26" t="s">
        <v>182</v>
      </c>
      <c r="F166" s="26" t="s">
        <v>474</v>
      </c>
      <c r="G166" s="26" t="s">
        <v>318</v>
      </c>
    </row>
    <row r="167" spans="3:7" x14ac:dyDescent="0.2">
      <c r="C167" s="3">
        <v>164</v>
      </c>
      <c r="D167" s="37" t="str">
        <f t="shared" si="5"/>
        <v>Zusätzliche</v>
      </c>
      <c r="E167" s="26" t="s">
        <v>153</v>
      </c>
      <c r="F167" s="26" t="s">
        <v>475</v>
      </c>
      <c r="G167" s="26" t="s">
        <v>319</v>
      </c>
    </row>
    <row r="168" spans="3:7" x14ac:dyDescent="0.2">
      <c r="C168" s="3">
        <v>165</v>
      </c>
      <c r="D168" s="37" t="str">
        <f t="shared" si="5"/>
        <v>A1.1 Zertifizierung nach Minergie (-P/-A/-ECO)</v>
      </c>
      <c r="E168" s="26" t="s">
        <v>154</v>
      </c>
      <c r="F168" s="26" t="s">
        <v>476</v>
      </c>
      <c r="G168" s="26" t="s">
        <v>320</v>
      </c>
    </row>
    <row r="169" spans="3:7" x14ac:dyDescent="0.2">
      <c r="C169" s="3">
        <v>166</v>
      </c>
      <c r="D169" s="37" t="str">
        <f t="shared" si="5"/>
        <v>C1.1 Betriebsenergie</v>
      </c>
      <c r="E169" s="26" t="s">
        <v>102</v>
      </c>
      <c r="F169" s="26" t="s">
        <v>477</v>
      </c>
      <c r="G169" s="26" t="s">
        <v>321</v>
      </c>
    </row>
    <row r="170" spans="3:7" x14ac:dyDescent="0.2">
      <c r="C170" s="3">
        <v>167</v>
      </c>
      <c r="D170" s="37" t="str">
        <f t="shared" si="5"/>
        <v>Kommentare / Bemerkungen</v>
      </c>
      <c r="E170" s="26" t="s">
        <v>165</v>
      </c>
      <c r="F170" s="26" t="s">
        <v>478</v>
      </c>
      <c r="G170" s="26" t="s">
        <v>322</v>
      </c>
    </row>
    <row r="171" spans="3:7" x14ac:dyDescent="0.2">
      <c r="C171" s="3">
        <v>168</v>
      </c>
      <c r="D171" s="37" t="str">
        <f t="shared" si="5"/>
        <v>aller Neubauten und Erneuerungen</v>
      </c>
      <c r="E171" s="26" t="s">
        <v>166</v>
      </c>
      <c r="F171" s="26" t="s">
        <v>479</v>
      </c>
      <c r="G171" s="26" t="s">
        <v>509</v>
      </c>
    </row>
    <row r="172" spans="3:7" x14ac:dyDescent="0.2">
      <c r="C172" s="3">
        <v>169</v>
      </c>
      <c r="D172" s="37" t="str">
        <f t="shared" si="5"/>
        <v>aller Neubauten</v>
      </c>
      <c r="E172" s="26" t="s">
        <v>167</v>
      </c>
      <c r="F172" s="26" t="s">
        <v>480</v>
      </c>
      <c r="G172" s="26" t="s">
        <v>323</v>
      </c>
    </row>
    <row r="173" spans="3:7" ht="24" x14ac:dyDescent="0.2">
      <c r="C173" s="3">
        <v>170</v>
      </c>
      <c r="D173" s="37" t="str">
        <f t="shared" si="5"/>
        <v>Angaben zum Rückbau von Bestandesbauten</v>
      </c>
      <c r="E173" s="26" t="s">
        <v>172</v>
      </c>
      <c r="F173" s="26" t="s">
        <v>481</v>
      </c>
      <c r="G173" s="26" t="s">
        <v>324</v>
      </c>
    </row>
    <row r="174" spans="3:7" x14ac:dyDescent="0.2">
      <c r="C174" s="3">
        <v>171</v>
      </c>
      <c r="D174" s="37" t="str">
        <f t="shared" si="5"/>
        <v>Angaben zum Neubau</v>
      </c>
      <c r="E174" s="26" t="s">
        <v>173</v>
      </c>
      <c r="F174" s="26" t="s">
        <v>482</v>
      </c>
      <c r="G174" s="26" t="s">
        <v>325</v>
      </c>
    </row>
    <row r="175" spans="3:7" ht="24" x14ac:dyDescent="0.2">
      <c r="C175" s="3">
        <v>172</v>
      </c>
      <c r="D175" s="37" t="str">
        <f t="shared" si="5"/>
        <v>Energiebezugsflächen EBF nach Gebäudekategorie</v>
      </c>
      <c r="E175" s="26" t="s">
        <v>174</v>
      </c>
      <c r="F175" s="26" t="s">
        <v>483</v>
      </c>
      <c r="G175" s="26" t="s">
        <v>326</v>
      </c>
    </row>
    <row r="176" spans="3:7" ht="24" x14ac:dyDescent="0.2">
      <c r="C176" s="3">
        <v>173</v>
      </c>
      <c r="D176" s="37" t="str">
        <f t="shared" si="5"/>
        <v>Gebäudekategorie Bestandesbauten (Hauptnutzung)</v>
      </c>
      <c r="E176" s="26" t="s">
        <v>591</v>
      </c>
      <c r="F176" s="26" t="s">
        <v>593</v>
      </c>
      <c r="G176" s="26" t="s">
        <v>592</v>
      </c>
    </row>
    <row r="177" spans="3:7" x14ac:dyDescent="0.2">
      <c r="C177" s="3">
        <v>174</v>
      </c>
      <c r="D177" s="37" t="str">
        <f t="shared" si="5"/>
        <v>Wohnen</v>
      </c>
      <c r="E177" s="26" t="s">
        <v>175</v>
      </c>
      <c r="F177" s="26" t="s">
        <v>528</v>
      </c>
      <c r="G177" s="26" t="s">
        <v>327</v>
      </c>
    </row>
    <row r="178" spans="3:7" ht="24" x14ac:dyDescent="0.2">
      <c r="C178" s="3">
        <v>175</v>
      </c>
      <c r="D178" s="37" t="str">
        <f t="shared" si="5"/>
        <v>Achtung: Summe weicht von EBF total ab. Bitte Eingabe prüfen.</v>
      </c>
      <c r="E178" s="26" t="s">
        <v>177</v>
      </c>
      <c r="F178" s="26" t="s">
        <v>484</v>
      </c>
      <c r="G178" s="26" t="s">
        <v>328</v>
      </c>
    </row>
    <row r="179" spans="3:7" ht="24" x14ac:dyDescent="0.2">
      <c r="C179" s="3">
        <v>176</v>
      </c>
      <c r="D179" s="37" t="str">
        <f t="shared" si="5"/>
        <v>Kommentar Eingabe!D10
Jedes Gebäude ist einzeln zu erfassen</v>
      </c>
      <c r="E179" s="26" t="s">
        <v>331</v>
      </c>
      <c r="F179" s="314" t="s">
        <v>488</v>
      </c>
      <c r="G179" s="26" t="s">
        <v>510</v>
      </c>
    </row>
    <row r="180" spans="3:7" ht="48" x14ac:dyDescent="0.2">
      <c r="C180" s="3">
        <v>177</v>
      </c>
      <c r="D180" s="37" t="str">
        <f t="shared" si="5"/>
        <v>Kommentar Eingabe!D12
Standardmässig werden 80% der GF als EBF verwendet. Bei Abweichung kann der Wert in der folgenden Zeile überschrieben werden.</v>
      </c>
      <c r="E180" s="26" t="s">
        <v>330</v>
      </c>
      <c r="F180" s="314" t="s">
        <v>534</v>
      </c>
      <c r="G180" s="26" t="s">
        <v>511</v>
      </c>
    </row>
    <row r="181" spans="3:7" ht="48" x14ac:dyDescent="0.2">
      <c r="C181" s="3">
        <v>178</v>
      </c>
      <c r="D181" s="37" t="str">
        <f t="shared" si="5"/>
        <v>Kommentar Eingabe!D22
Gebäude mit Erneuerungs- und Neubau-Zonen müssen als separate Gebäude eingegeben werden.</v>
      </c>
      <c r="E181" s="26" t="s">
        <v>329</v>
      </c>
      <c r="F181" s="314" t="s">
        <v>489</v>
      </c>
      <c r="G181" s="26" t="s">
        <v>512</v>
      </c>
    </row>
    <row r="182" spans="3:7" ht="48" x14ac:dyDescent="0.2">
      <c r="C182" s="3">
        <v>179</v>
      </c>
      <c r="D182" s="37" t="str">
        <f t="shared" si="5"/>
        <v xml:space="preserve">Kommentar Eingabe!D53
Berechnung mit dem einfachen Nachweis gemäss Gebäudestandard Minergie oder einem zugelassen Ökobilanzierungstool. </v>
      </c>
      <c r="E182" s="26" t="s">
        <v>339</v>
      </c>
      <c r="F182" s="314" t="s">
        <v>500</v>
      </c>
      <c r="G182" s="26" t="s">
        <v>513</v>
      </c>
    </row>
    <row r="183" spans="3:7" ht="36" x14ac:dyDescent="0.2">
      <c r="C183" s="3">
        <v>180</v>
      </c>
      <c r="D183" s="37" t="str">
        <f t="shared" si="5"/>
        <v>Kommentar Eingabe!D55
Wärmeerzeugung für Heizung und Warmwasser. Spitzenlast bitte nachfolgend eingeben.</v>
      </c>
      <c r="E183" s="26" t="s">
        <v>336</v>
      </c>
      <c r="F183" s="314" t="s">
        <v>490</v>
      </c>
      <c r="G183" s="26" t="s">
        <v>514</v>
      </c>
    </row>
    <row r="184" spans="3:7" ht="24" x14ac:dyDescent="0.2">
      <c r="C184" s="3">
        <v>181</v>
      </c>
      <c r="D184" s="37" t="str">
        <f t="shared" si="5"/>
        <v>Anrechnung PV-Anlage (20% Eigenverbrauch + 40% der Einspeisung)</v>
      </c>
      <c r="E184" s="26" t="s">
        <v>332</v>
      </c>
      <c r="F184" s="26" t="s">
        <v>491</v>
      </c>
      <c r="G184" s="26" t="s">
        <v>515</v>
      </c>
    </row>
    <row r="185" spans="3:7" x14ac:dyDescent="0.2">
      <c r="C185" s="3">
        <v>182</v>
      </c>
      <c r="D185" s="37" t="str">
        <f t="shared" si="5"/>
        <v>Energiebezugsfläche EBF für Berechnung</v>
      </c>
      <c r="E185" s="26" t="s">
        <v>132</v>
      </c>
      <c r="F185" s="26" t="s">
        <v>492</v>
      </c>
      <c r="G185" s="26" t="s">
        <v>516</v>
      </c>
    </row>
    <row r="186" spans="3:7" x14ac:dyDescent="0.2">
      <c r="C186" s="3">
        <v>183</v>
      </c>
      <c r="D186" s="37" t="str">
        <f t="shared" si="5"/>
        <v>Anteil</v>
      </c>
      <c r="E186" s="26" t="s">
        <v>333</v>
      </c>
      <c r="F186" s="26" t="s">
        <v>493</v>
      </c>
      <c r="G186" s="26" t="s">
        <v>517</v>
      </c>
    </row>
    <row r="187" spans="3:7" x14ac:dyDescent="0.2">
      <c r="C187" s="3">
        <v>184</v>
      </c>
      <c r="D187" s="37" t="str">
        <f t="shared" si="5"/>
        <v>Spitzenlast</v>
      </c>
      <c r="E187" s="26" t="s">
        <v>335</v>
      </c>
      <c r="F187" s="26" t="s">
        <v>494</v>
      </c>
      <c r="G187" s="26" t="s">
        <v>518</v>
      </c>
    </row>
    <row r="188" spans="3:7" ht="60" x14ac:dyDescent="0.2">
      <c r="C188" s="3">
        <v>185</v>
      </c>
      <c r="D188" s="37" t="str">
        <f t="shared" si="5"/>
        <v>Kommentar Eingabe!D56 und D57
Wärmeerzeugung für Heizung und Warmwasser. Spitzenlast bitte nachfolgend eingeben. Eingabe nur falls mehrere Wärmeerzeuger eingesetzt werden.</v>
      </c>
      <c r="E188" s="26" t="s">
        <v>337</v>
      </c>
      <c r="F188" s="26" t="s">
        <v>495</v>
      </c>
      <c r="G188" s="26" t="s">
        <v>519</v>
      </c>
    </row>
    <row r="189" spans="3:7" ht="60" x14ac:dyDescent="0.2">
      <c r="C189" s="3">
        <v>186</v>
      </c>
      <c r="D189" s="37" t="str">
        <f t="shared" si="5"/>
        <v>Kommentar Eingabe!D58
Fossile Spitzenlastabdeckung ist entsprechend dem aktuell gültigem Produktreglement Gebäudestandards MINERGIE / MINERGIE-P / MINERGIE-A zugelassen.</v>
      </c>
      <c r="E189" s="26" t="s">
        <v>338</v>
      </c>
      <c r="F189" s="26" t="s">
        <v>501</v>
      </c>
      <c r="G189" s="26" t="s">
        <v>520</v>
      </c>
    </row>
    <row r="190" spans="3:7" ht="60" x14ac:dyDescent="0.2">
      <c r="C190" s="3">
        <v>187</v>
      </c>
      <c r="D190" s="37" t="str">
        <f t="shared" si="5"/>
        <v>Kommentar Eingabe!D44
Solarthermie-Anlagen werden auch bei "C1.4 Nutzung solare Energie" angerechnet. Bitte Solarthermie-Anlagen unter "Wärmeerzeugung" eingeben.</v>
      </c>
      <c r="E190" s="26" t="s">
        <v>343</v>
      </c>
      <c r="F190" s="26" t="s">
        <v>496</v>
      </c>
      <c r="G190" s="26" t="s">
        <v>521</v>
      </c>
    </row>
    <row r="191" spans="3:7" ht="36" x14ac:dyDescent="0.2">
      <c r="C191" s="3">
        <v>188</v>
      </c>
      <c r="D191" s="37" t="str">
        <f t="shared" si="5"/>
        <v>Bauten im Schutzinventar: lässt kommunale Vorschrift PV-Anlage  zu?</v>
      </c>
      <c r="E191" s="26" t="s">
        <v>347</v>
      </c>
      <c r="F191" s="26" t="s">
        <v>502</v>
      </c>
      <c r="G191" s="26" t="s">
        <v>525</v>
      </c>
    </row>
    <row r="192" spans="3:7" x14ac:dyDescent="0.2">
      <c r="C192" s="3">
        <v>189</v>
      </c>
      <c r="D192" s="37" t="str">
        <f t="shared" si="5"/>
        <v>PV-Anlage zugelassen</v>
      </c>
      <c r="E192" s="26" t="s">
        <v>345</v>
      </c>
      <c r="F192" s="26" t="s">
        <v>497</v>
      </c>
      <c r="G192" s="26" t="s">
        <v>522</v>
      </c>
    </row>
    <row r="193" spans="3:7" x14ac:dyDescent="0.2">
      <c r="C193" s="3">
        <v>190</v>
      </c>
      <c r="D193" s="37" t="str">
        <f t="shared" si="5"/>
        <v>PV-Anlage nicht zugelassen</v>
      </c>
      <c r="E193" s="26" t="s">
        <v>344</v>
      </c>
      <c r="F193" s="26" t="s">
        <v>498</v>
      </c>
      <c r="G193" s="26" t="s">
        <v>523</v>
      </c>
    </row>
    <row r="194" spans="3:7" x14ac:dyDescent="0.2">
      <c r="C194" s="3">
        <v>191</v>
      </c>
      <c r="D194" s="37" t="str">
        <f t="shared" si="5"/>
        <v>leer</v>
      </c>
      <c r="E194" s="26" t="s">
        <v>346</v>
      </c>
      <c r="F194" s="26" t="s">
        <v>499</v>
      </c>
      <c r="G194" s="26" t="s">
        <v>524</v>
      </c>
    </row>
    <row r="195" spans="3:7" ht="24" x14ac:dyDescent="0.2">
      <c r="C195" s="3">
        <v>192</v>
      </c>
      <c r="D195" s="37" t="str">
        <f t="shared" si="5"/>
        <v>Baubeginn Neubau / Erneuerung (Jahr)</v>
      </c>
      <c r="E195" s="26" t="s">
        <v>537</v>
      </c>
      <c r="F195" s="26" t="s">
        <v>535</v>
      </c>
      <c r="G195" s="26" t="s">
        <v>536</v>
      </c>
    </row>
    <row r="196" spans="3:7" x14ac:dyDescent="0.2">
      <c r="C196" s="3">
        <v>193</v>
      </c>
      <c r="D196" s="37" t="str">
        <f t="shared" si="5"/>
        <v>Areal Name</v>
      </c>
      <c r="E196" s="26" t="s">
        <v>540</v>
      </c>
      <c r="F196" s="26" t="s">
        <v>538</v>
      </c>
      <c r="G196" s="26" t="s">
        <v>539</v>
      </c>
    </row>
    <row r="197" spans="3:7" x14ac:dyDescent="0.2">
      <c r="C197" s="3">
        <v>194</v>
      </c>
      <c r="D197" s="37" t="str">
        <f t="shared" si="5"/>
        <v>Erneuerung nach Minergie</v>
      </c>
      <c r="E197" s="26" t="s">
        <v>542</v>
      </c>
      <c r="F197" s="26" t="s">
        <v>544</v>
      </c>
      <c r="G197" s="26" t="s">
        <v>546</v>
      </c>
    </row>
    <row r="198" spans="3:7" ht="60" x14ac:dyDescent="0.2">
      <c r="C198" s="3">
        <v>195</v>
      </c>
      <c r="D198" s="37" t="str">
        <f t="shared" si="5"/>
        <v>Kommentar Eingabe!D11
Jedes Gebäude im Areal ist in der Label-Plattform zu erfassen, siehe auch Anwendungshilfe. Die Gebäude-ID ist eine Zahlenfolge mit B am Anfang. Z.B. B11111.</v>
      </c>
      <c r="E198" s="26" t="s">
        <v>549</v>
      </c>
      <c r="F198" s="336" t="s">
        <v>579</v>
      </c>
      <c r="G198" s="336" t="s">
        <v>578</v>
      </c>
    </row>
    <row r="199" spans="3:7" x14ac:dyDescent="0.2">
      <c r="C199" s="3">
        <v>196</v>
      </c>
      <c r="D199" s="37" t="str">
        <f t="shared" si="5"/>
        <v>Neubau oder Bestandesbau?</v>
      </c>
      <c r="E199" s="26" t="s">
        <v>555</v>
      </c>
      <c r="F199" s="336" t="s">
        <v>583</v>
      </c>
      <c r="G199" s="336" t="s">
        <v>582</v>
      </c>
    </row>
    <row r="200" spans="3:7" x14ac:dyDescent="0.2">
      <c r="C200" s="3">
        <v>197</v>
      </c>
      <c r="D200" s="37" t="str">
        <f t="shared" si="5"/>
        <v>Bestandesbau</v>
      </c>
      <c r="E200" s="26" t="s">
        <v>556</v>
      </c>
      <c r="F200" s="336" t="s">
        <v>580</v>
      </c>
      <c r="G200" s="336" t="s">
        <v>581</v>
      </c>
    </row>
    <row r="201" spans="3:7" x14ac:dyDescent="0.2">
      <c r="C201" s="3">
        <v>198</v>
      </c>
      <c r="D201" s="37" t="str">
        <f t="shared" si="5"/>
        <v>Anteil Minergie-Gebäude im Areal</v>
      </c>
      <c r="E201" s="26" t="s">
        <v>560</v>
      </c>
      <c r="F201" s="336" t="s">
        <v>585</v>
      </c>
      <c r="G201" s="336" t="s">
        <v>584</v>
      </c>
    </row>
    <row r="202" spans="3:7" x14ac:dyDescent="0.2">
      <c r="C202" s="3">
        <v>199</v>
      </c>
      <c r="D202" s="37" t="str">
        <f t="shared" si="5"/>
        <v>Bauvorhaben</v>
      </c>
      <c r="E202" s="26" t="s">
        <v>561</v>
      </c>
      <c r="F202" s="336" t="s">
        <v>586</v>
      </c>
      <c r="G202" s="336" t="s">
        <v>587</v>
      </c>
    </row>
    <row r="203" spans="3:7" x14ac:dyDescent="0.2">
      <c r="C203" s="3">
        <v>200</v>
      </c>
      <c r="D203" s="37">
        <f t="shared" si="5"/>
        <v>0</v>
      </c>
    </row>
    <row r="204" spans="3:7" x14ac:dyDescent="0.2">
      <c r="C204" s="3">
        <v>201</v>
      </c>
      <c r="D204" s="37">
        <f t="shared" si="5"/>
        <v>0</v>
      </c>
    </row>
    <row r="205" spans="3:7" x14ac:dyDescent="0.2">
      <c r="C205" s="3">
        <v>202</v>
      </c>
      <c r="D205" s="37">
        <f t="shared" si="5"/>
        <v>0</v>
      </c>
    </row>
    <row r="206" spans="3:7" x14ac:dyDescent="0.2">
      <c r="C206" s="3">
        <v>203</v>
      </c>
      <c r="D206" s="37">
        <f t="shared" si="5"/>
        <v>0</v>
      </c>
    </row>
    <row r="207" spans="3:7" x14ac:dyDescent="0.2">
      <c r="C207" s="3">
        <v>204</v>
      </c>
      <c r="D207" s="37">
        <f t="shared" si="5"/>
        <v>0</v>
      </c>
    </row>
    <row r="208" spans="3:7" x14ac:dyDescent="0.2">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SKCW24DMUQ4M-227545371-618063</_dlc_DocId>
    <_dlc_DocIdUrl xmlns="19415a2c-3045-4769-8042-b2d573daa356">
      <Url>https://mst239701.sharepoint.com/sites/Files/_layouts/15/DocIdRedir.aspx?ID=SKCW24DMUQ4M-227545371-618063</Url>
      <Description>SKCW24DMUQ4M-227545371-618063</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936FA-4882-44C2-802C-C74878377CBC}">
  <ds:schemaRefs>
    <ds:schemaRef ds:uri="http://schemas.microsoft.com/sharepoint/events"/>
  </ds:schemaRefs>
</ds:datastoreItem>
</file>

<file path=customXml/itemProps2.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88A4048-FC81-4D7D-838C-140C7DEC1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B891ED-4BA4-445D-B313-E9A06AB31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38</vt:i4>
      </vt:variant>
    </vt:vector>
  </HeadingPairs>
  <TitlesOfParts>
    <vt:vector size="44" baseType="lpstr">
      <vt:lpstr>Anleitung</vt:lpstr>
      <vt:lpstr>Eingabe</vt:lpstr>
      <vt:lpstr>Uebersicht</vt:lpstr>
      <vt:lpstr>Listen</vt:lpstr>
      <vt:lpstr>Aenderungsjournal</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2023-08-04T13:08:37Z</cp:lastPrinted>
  <dcterms:created xsi:type="dcterms:W3CDTF">2023-01-31T17:23:31Z</dcterms:created>
  <dcterms:modified xsi:type="dcterms:W3CDTF">2025-05-20T10:23:50Z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48536eaf-e16a-4a98-bc6a-5b3008b7774f</vt:lpwstr>
  </property>
  <property fmtid="{D5CDD505-2E9C-101B-9397-08002B2CF9AE}" pid="4" name="MediaServiceImageTags">
    <vt:lpwstr/>
  </property>
</Properties>
</file>