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DieseArbeitsmappe" defaultThemeVersion="166925"/>
  <mc:AlternateContent xmlns:mc="http://schemas.openxmlformats.org/markup-compatibility/2006">
    <mc:Choice Requires="x15">
      <x15ac:absPath xmlns:x15ac="http://schemas.microsoft.com/office/spreadsheetml/2010/11/ac" url="C:\Users\maja.dzakulin\Desktop\"/>
    </mc:Choice>
  </mc:AlternateContent>
  <xr:revisionPtr revIDLastSave="0" documentId="8_{F226E065-A8F3-47AB-BA6B-FD9DE56835DF}" xr6:coauthVersionLast="47" xr6:coauthVersionMax="47" xr10:uidLastSave="{00000000-0000-0000-0000-000000000000}"/>
  <bookViews>
    <workbookView xWindow="-110" yWindow="-110" windowWidth="19420" windowHeight="10300" xr2:uid="{168632F1-B688-42B1-B4E2-4B78CD311409}"/>
  </bookViews>
  <sheets>
    <sheet name="B1.4" sheetId="1" r:id="rId1"/>
    <sheet name="B1.5" sheetId="11" r:id="rId2"/>
    <sheet name="C2.2" sheetId="14" r:id="rId3"/>
    <sheet name="C2.4" sheetId="9" r:id="rId4"/>
    <sheet name="D1.5" sheetId="10" r:id="rId5"/>
    <sheet name="E2.3" sheetId="12" r:id="rId6"/>
    <sheet name="E2.4" sheetId="5" r:id="rId7"/>
    <sheet name="E2.5" sheetId="6" r:id="rId8"/>
    <sheet name="E2.6" sheetId="8" r:id="rId9"/>
    <sheet name="Joker" sheetId="13" r:id="rId10"/>
    <sheet name="Listen" sheetId="2" state="hidden" r:id="rId11"/>
    <sheet name="Uebersetzungen" sheetId="3" state="hidden" r:id="rId12"/>
  </sheets>
  <externalReferences>
    <externalReference r:id="rId13"/>
  </externalReferences>
  <definedNames>
    <definedName name="_xlnm.Print_Area" localSheetId="0">'B1.4'!$B$1:$G$32</definedName>
    <definedName name="_xlnm.Print_Area" localSheetId="1">'B1.5'!$B$1:$G$19</definedName>
    <definedName name="_xlnm.Print_Area" localSheetId="2">'C2.2'!$B$1:$M$27</definedName>
    <definedName name="_xlnm.Print_Area" localSheetId="3">'C2.4'!$B$1:$G$18</definedName>
    <definedName name="_xlnm.Print_Area" localSheetId="4">'D1.5'!$B$1:$G$20</definedName>
    <definedName name="_xlnm.Print_Area" localSheetId="5">'E2.3'!$B$1:$G$29</definedName>
    <definedName name="_xlnm.Print_Area" localSheetId="6">'E2.4'!$B$1:$F$18</definedName>
    <definedName name="_xlnm.Print_Area" localSheetId="7">'E2.5'!$B$1:$F$18</definedName>
    <definedName name="_xlnm.Print_Area" localSheetId="8">'E2.6'!$B$1:$G$18</definedName>
    <definedName name="_xlnm.Print_Area" localSheetId="9">Joker!$B$1:$F$14</definedName>
    <definedName name="LST_E23">Listen!$B$22:$C$24</definedName>
    <definedName name="LST_E24">Listen!$B$9:$B$11</definedName>
    <definedName name="LST_E25">Listen!$B$2:$B$7</definedName>
    <definedName name="LST_Joker">Listen!$B$42:$B$45</definedName>
    <definedName name="LST_Lage">Listen!$B$22:$B$24</definedName>
    <definedName name="LST_Langsamverkehr">Listen!$A$28:$A$30</definedName>
    <definedName name="LST_OV">Listen!$B$27:$D$27</definedName>
    <definedName name="LSTArt">[1]Listen!$B$24:$B$28</definedName>
    <definedName name="LSTB14">Listen!$B$14:$B$19</definedName>
    <definedName name="LSTC22">Listen!$B$47:$B$48</definedName>
    <definedName name="LSTC22_2">Listen!$B$50:$B$51</definedName>
    <definedName name="LSTC22_3">Listen!$B$53:$B$54</definedName>
    <definedName name="LSTGebKat">[1]Listen!$B$2:$B$14</definedName>
    <definedName name="LSTLage">Listen!$B$22:$B$24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2" l="1"/>
  <c r="D23" i="1"/>
  <c r="E26" i="14" l="1"/>
  <c r="D26" i="14"/>
  <c r="E21" i="14"/>
  <c r="F21" i="14"/>
  <c r="G21" i="14"/>
  <c r="H21" i="14"/>
  <c r="I21" i="14"/>
  <c r="J21" i="14"/>
  <c r="K21" i="14"/>
  <c r="L21" i="14"/>
  <c r="M21" i="14"/>
  <c r="D21" i="14"/>
  <c r="F26" i="14" l="1"/>
  <c r="D27" i="14"/>
  <c r="F10" i="1" l="1"/>
  <c r="F12" i="11"/>
  <c r="D12" i="11"/>
  <c r="G12" i="11" s="1"/>
  <c r="D12" i="10"/>
  <c r="G12" i="10" s="1"/>
  <c r="D12" i="9"/>
  <c r="G12" i="9" s="1"/>
  <c r="F12" i="9"/>
  <c r="C12" i="8" l="1"/>
  <c r="F12" i="8" s="1"/>
  <c r="B26" i="1"/>
  <c r="B23" i="1"/>
  <c r="D26" i="1"/>
  <c r="H3" i="3" l="1"/>
  <c r="H2" i="3"/>
  <c r="H1" i="3"/>
  <c r="A1" i="3" l="1"/>
  <c r="D155" i="3" s="1"/>
  <c r="D10" i="3" l="1"/>
  <c r="D112" i="3"/>
  <c r="D125" i="3"/>
  <c r="B11" i="14" s="1"/>
  <c r="D86" i="3"/>
  <c r="D47" i="3"/>
  <c r="B7" i="13" s="1"/>
  <c r="D9" i="3"/>
  <c r="B7" i="2" s="1"/>
  <c r="D145" i="3"/>
  <c r="C27" i="2" s="1"/>
  <c r="D18" i="3"/>
  <c r="B11" i="2" s="1"/>
  <c r="D42" i="3"/>
  <c r="B8" i="13" s="1"/>
  <c r="D130" i="3"/>
  <c r="C14" i="14" s="1"/>
  <c r="D56" i="3"/>
  <c r="D5" i="3"/>
  <c r="B3" i="2" s="1"/>
  <c r="D69" i="3"/>
  <c r="B15" i="1" s="1"/>
  <c r="B25" i="1" s="1"/>
  <c r="D133" i="3"/>
  <c r="C17" i="14" s="1"/>
  <c r="D30" i="3"/>
  <c r="C1" i="9" s="1"/>
  <c r="D94" i="3"/>
  <c r="B8" i="11" s="1"/>
  <c r="D158" i="3"/>
  <c r="D55" i="3"/>
  <c r="D119" i="3"/>
  <c r="B19" i="14" s="1"/>
  <c r="D17" i="3"/>
  <c r="B10" i="2" s="1"/>
  <c r="D89" i="3"/>
  <c r="B8" i="10" s="1"/>
  <c r="D153" i="3"/>
  <c r="D170" i="3"/>
  <c r="D75" i="3"/>
  <c r="D17" i="2" s="1"/>
  <c r="D58" i="3"/>
  <c r="D156" i="3"/>
  <c r="D61" i="3"/>
  <c r="B17" i="2" s="1"/>
  <c r="D22" i="3"/>
  <c r="B9" i="8" s="1"/>
  <c r="D150" i="3"/>
  <c r="D111" i="3"/>
  <c r="D81" i="3"/>
  <c r="B9" i="6" s="1"/>
  <c r="D162" i="3"/>
  <c r="D76" i="3"/>
  <c r="F16" i="2" s="1"/>
  <c r="D171" i="3"/>
  <c r="D68" i="3"/>
  <c r="B11" i="1" s="1"/>
  <c r="D174" i="3"/>
  <c r="D139" i="3"/>
  <c r="B22" i="2" s="1"/>
  <c r="D50" i="3"/>
  <c r="D131" i="3"/>
  <c r="C15" i="14" s="1"/>
  <c r="D107" i="3"/>
  <c r="E25" i="14" s="1"/>
  <c r="D175" i="3"/>
  <c r="D64" i="3"/>
  <c r="B50" i="2" s="1"/>
  <c r="D128" i="3"/>
  <c r="B26" i="14" s="1"/>
  <c r="D13" i="3"/>
  <c r="D77" i="3"/>
  <c r="D141" i="3"/>
  <c r="B24" i="2" s="1"/>
  <c r="D38" i="3"/>
  <c r="A2" i="2" s="1"/>
  <c r="D102" i="3"/>
  <c r="B11" i="12" s="1"/>
  <c r="D166" i="3"/>
  <c r="D63" i="3"/>
  <c r="D127" i="3"/>
  <c r="B27" i="14" s="1"/>
  <c r="D25" i="3"/>
  <c r="C1" i="11" s="1"/>
  <c r="D97" i="3"/>
  <c r="B8" i="12" s="1"/>
  <c r="D161" i="3"/>
  <c r="D178" i="3"/>
  <c r="D148" i="3"/>
  <c r="D35" i="3"/>
  <c r="B44" i="2" s="1"/>
  <c r="D163" i="3"/>
  <c r="D120" i="3"/>
  <c r="B20" i="14" s="1"/>
  <c r="D123" i="3"/>
  <c r="B10" i="14" s="1"/>
  <c r="D115" i="3"/>
  <c r="B15" i="14" s="1"/>
  <c r="D116" i="3"/>
  <c r="B16" i="14" s="1"/>
  <c r="D27" i="3"/>
  <c r="D108" i="3"/>
  <c r="F25" i="14" s="1"/>
  <c r="D84" i="3"/>
  <c r="B12" i="8" s="1"/>
  <c r="D8" i="3"/>
  <c r="B6" i="2" s="1"/>
  <c r="D72" i="3"/>
  <c r="C13" i="2" s="1"/>
  <c r="D136" i="3"/>
  <c r="C20" i="14" s="1"/>
  <c r="D21" i="3"/>
  <c r="B8" i="8" s="1"/>
  <c r="D85" i="3"/>
  <c r="B7" i="9" s="1"/>
  <c r="D149" i="3"/>
  <c r="D46" i="3"/>
  <c r="C1" i="13" s="1"/>
  <c r="D110" i="3"/>
  <c r="D7" i="3"/>
  <c r="B5" i="2" s="1"/>
  <c r="D71" i="3"/>
  <c r="B8" i="1" s="1"/>
  <c r="D135" i="3"/>
  <c r="C19" i="14" s="1"/>
  <c r="D33" i="3"/>
  <c r="C1" i="10" s="1"/>
  <c r="D105" i="3"/>
  <c r="B16" i="12" s="1"/>
  <c r="D169" i="3"/>
  <c r="D124" i="3"/>
  <c r="B8" i="14" s="1"/>
  <c r="D100" i="3"/>
  <c r="D12" i="3"/>
  <c r="B8" i="6" s="1"/>
  <c r="D173" i="3"/>
  <c r="D92" i="3"/>
  <c r="B12" i="10" s="1"/>
  <c r="D90" i="3"/>
  <c r="B9" i="10" s="1"/>
  <c r="D80" i="3"/>
  <c r="B7" i="5" s="1"/>
  <c r="D93" i="3"/>
  <c r="B7" i="11" s="1"/>
  <c r="D118" i="3"/>
  <c r="B18" i="14" s="1"/>
  <c r="D143" i="3"/>
  <c r="D113" i="3"/>
  <c r="A1" i="2" s="1"/>
  <c r="D34" i="3"/>
  <c r="D74" i="3"/>
  <c r="D14" i="2" s="1"/>
  <c r="D164" i="3"/>
  <c r="D83" i="3"/>
  <c r="B7" i="8" s="1"/>
  <c r="D67" i="3"/>
  <c r="B10" i="1" s="1"/>
  <c r="B22" i="1" s="1"/>
  <c r="D43" i="3"/>
  <c r="B10" i="13" s="1"/>
  <c r="D24" i="3"/>
  <c r="A13" i="2" s="1"/>
  <c r="D88" i="3"/>
  <c r="B8" i="9" s="1"/>
  <c r="D152" i="3"/>
  <c r="D37" i="3"/>
  <c r="C1" i="5" s="1"/>
  <c r="D101" i="3"/>
  <c r="B7" i="12" s="1"/>
  <c r="D165" i="3"/>
  <c r="D62" i="3"/>
  <c r="B18" i="2" s="1"/>
  <c r="D126" i="3"/>
  <c r="B12" i="14" s="1"/>
  <c r="D23" i="3"/>
  <c r="D87" i="3"/>
  <c r="B9" i="9" s="1"/>
  <c r="B12" i="9" s="1"/>
  <c r="D151" i="3"/>
  <c r="D57" i="3"/>
  <c r="D121" i="3"/>
  <c r="B47" i="2" s="1"/>
  <c r="D138" i="3"/>
  <c r="D13" i="14" s="1"/>
  <c r="D60" i="3"/>
  <c r="D147" i="3"/>
  <c r="D140" i="3"/>
  <c r="B23" i="2" s="1"/>
  <c r="D91" i="3"/>
  <c r="B7" i="10" s="1"/>
  <c r="D48" i="3"/>
  <c r="D4" i="3"/>
  <c r="B2" i="2" s="1"/>
  <c r="D16" i="3"/>
  <c r="B9" i="2" s="1"/>
  <c r="D29" i="3"/>
  <c r="D54" i="3"/>
  <c r="D79" i="3"/>
  <c r="B24" i="14" s="1"/>
  <c r="D177" i="3"/>
  <c r="D106" i="3"/>
  <c r="D25" i="14" s="1"/>
  <c r="D51" i="3"/>
  <c r="B16" i="2" s="1"/>
  <c r="D27" i="1" s="1"/>
  <c r="E27" i="1" s="1"/>
  <c r="D44" i="3"/>
  <c r="B12" i="13" s="1"/>
  <c r="D20" i="3"/>
  <c r="B5" i="11" s="1"/>
  <c r="D32" i="3"/>
  <c r="D96" i="3"/>
  <c r="B12" i="11" s="1"/>
  <c r="D160" i="3"/>
  <c r="D45" i="3"/>
  <c r="B14" i="13" s="1"/>
  <c r="D109" i="3"/>
  <c r="D6" i="3"/>
  <c r="B4" i="2" s="1"/>
  <c r="D70" i="3"/>
  <c r="B16" i="1" s="1"/>
  <c r="D134" i="3"/>
  <c r="C18" i="14" s="1"/>
  <c r="D31" i="3"/>
  <c r="B43" i="2" s="1"/>
  <c r="D95" i="3"/>
  <c r="B9" i="11" s="1"/>
  <c r="D159" i="3"/>
  <c r="D65" i="3"/>
  <c r="B51" i="2" s="1"/>
  <c r="D129" i="3"/>
  <c r="C13" i="14" s="1"/>
  <c r="D146" i="3"/>
  <c r="D27" i="2" s="1"/>
  <c r="D19" i="3"/>
  <c r="B11" i="6" s="1"/>
  <c r="D122" i="3"/>
  <c r="B48" i="2" s="1"/>
  <c r="D41" i="3"/>
  <c r="A42" i="2" s="1"/>
  <c r="D98" i="3"/>
  <c r="D176" i="3"/>
  <c r="D11" i="3"/>
  <c r="D66" i="3"/>
  <c r="D144" i="3"/>
  <c r="B27" i="2" s="1"/>
  <c r="D157" i="3"/>
  <c r="D15" i="3"/>
  <c r="B3" i="14" s="1"/>
  <c r="D49" i="3"/>
  <c r="D52" i="3"/>
  <c r="D132" i="3"/>
  <c r="C16" i="14" s="1"/>
  <c r="D82" i="3"/>
  <c r="D28" i="3"/>
  <c r="A50" i="2" s="1"/>
  <c r="D114" i="3"/>
  <c r="B14" i="14" s="1"/>
  <c r="D36" i="3"/>
  <c r="C1" i="12" s="1"/>
  <c r="D26" i="3"/>
  <c r="B42" i="2" s="1"/>
  <c r="D172" i="3"/>
  <c r="D40" i="3"/>
  <c r="B45" i="2" s="1"/>
  <c r="D104" i="3"/>
  <c r="B12" i="12" s="1"/>
  <c r="D168" i="3"/>
  <c r="D53" i="3"/>
  <c r="B19" i="2" s="1"/>
  <c r="D117" i="3"/>
  <c r="B17" i="14" s="1"/>
  <c r="D14" i="3"/>
  <c r="B7" i="6" s="1"/>
  <c r="D78" i="3"/>
  <c r="B7" i="1" s="1"/>
  <c r="D142" i="3"/>
  <c r="D39" i="3"/>
  <c r="C1" i="8" s="1"/>
  <c r="D103" i="3"/>
  <c r="B9" i="12" s="1"/>
  <c r="B22" i="12" s="1"/>
  <c r="D167" i="3"/>
  <c r="D73" i="3"/>
  <c r="D13" i="2" s="1"/>
  <c r="D137" i="3"/>
  <c r="B13" i="14" s="1"/>
  <c r="D154" i="3"/>
  <c r="D59" i="3"/>
  <c r="D99" i="3"/>
  <c r="F20" i="12" l="1"/>
  <c r="E15" i="12"/>
  <c r="J15" i="12" s="1"/>
  <c r="I15" i="12"/>
  <c r="B32" i="2"/>
  <c r="E14" i="12"/>
  <c r="A32" i="2"/>
  <c r="F22" i="14"/>
  <c r="B14" i="12"/>
  <c r="B26" i="2"/>
  <c r="A26" i="2"/>
  <c r="B15" i="12"/>
  <c r="B15" i="2"/>
  <c r="B13" i="12"/>
  <c r="B21" i="12" s="1"/>
  <c r="B10" i="12"/>
  <c r="B20" i="12" s="1"/>
  <c r="A9" i="2"/>
  <c r="B8" i="5"/>
  <c r="C1" i="6"/>
  <c r="B5" i="9"/>
  <c r="B11" i="5"/>
  <c r="B12" i="6"/>
  <c r="B9" i="5"/>
  <c r="B12" i="5"/>
  <c r="B14" i="2"/>
  <c r="F23" i="1" s="1"/>
  <c r="G23" i="1" s="1"/>
  <c r="A22" i="2"/>
  <c r="B5" i="10"/>
  <c r="D11" i="10"/>
  <c r="E13" i="2"/>
  <c r="C11" i="8"/>
  <c r="D19" i="12"/>
  <c r="D21" i="1"/>
  <c r="D11" i="9"/>
  <c r="A47" i="2"/>
  <c r="B5" i="8"/>
  <c r="B3" i="8"/>
  <c r="A53" i="2"/>
  <c r="G11" i="9"/>
  <c r="D24" i="1"/>
  <c r="E24" i="1" s="1"/>
  <c r="F27" i="1"/>
  <c r="G27" i="1" s="1"/>
  <c r="B3" i="12"/>
  <c r="B21" i="14"/>
  <c r="C18" i="1"/>
  <c r="C17" i="1"/>
  <c r="C12" i="1"/>
  <c r="B18" i="1"/>
  <c r="C27" i="1" s="1"/>
  <c r="F24" i="1"/>
  <c r="B3" i="11"/>
  <c r="D11" i="11"/>
  <c r="B10" i="10"/>
  <c r="G11" i="10"/>
  <c r="B5" i="14"/>
  <c r="D18" i="2"/>
  <c r="D11" i="8"/>
  <c r="M22" i="14"/>
  <c r="D16" i="2"/>
  <c r="B10" i="9"/>
  <c r="E21" i="1"/>
  <c r="D15" i="2"/>
  <c r="F19" i="12"/>
  <c r="K22" i="14"/>
  <c r="D19" i="2"/>
  <c r="I22" i="14"/>
  <c r="B3" i="1"/>
  <c r="B5" i="12"/>
  <c r="B5" i="1"/>
  <c r="F11" i="8"/>
  <c r="G22" i="14"/>
  <c r="F13" i="2"/>
  <c r="C13" i="1"/>
  <c r="B20" i="1"/>
  <c r="B3" i="6"/>
  <c r="G19" i="12"/>
  <c r="E11" i="10"/>
  <c r="B5" i="13"/>
  <c r="J22" i="14"/>
  <c r="B22" i="14"/>
  <c r="B13" i="1"/>
  <c r="C24" i="1" s="1"/>
  <c r="B5" i="5"/>
  <c r="B3" i="5"/>
  <c r="G21" i="1"/>
  <c r="B3" i="13"/>
  <c r="C1" i="14"/>
  <c r="E22" i="14"/>
  <c r="B5" i="6"/>
  <c r="B10" i="11"/>
  <c r="E11" i="11"/>
  <c r="H22" i="14"/>
  <c r="D22" i="14"/>
  <c r="B10" i="8"/>
  <c r="B3" i="9"/>
  <c r="B3" i="10"/>
  <c r="G11" i="11"/>
  <c r="E11" i="9"/>
  <c r="B18" i="12"/>
  <c r="F1" i="8"/>
  <c r="F1" i="1"/>
  <c r="E1" i="5"/>
  <c r="E1" i="13"/>
  <c r="F1" i="12"/>
  <c r="E1" i="6"/>
  <c r="F1" i="11"/>
  <c r="F1" i="10"/>
  <c r="L1" i="14"/>
  <c r="F1" i="9"/>
  <c r="C1" i="1"/>
  <c r="L22" i="14"/>
  <c r="F26" i="1"/>
  <c r="G26" i="1" s="1"/>
  <c r="F21" i="12" l="1"/>
  <c r="F22" i="12" s="1"/>
  <c r="G22" i="12" s="1"/>
  <c r="B12" i="1"/>
  <c r="C23" i="1" s="1"/>
  <c r="E27" i="14"/>
  <c r="F27" i="14" s="1"/>
  <c r="G24" i="1"/>
  <c r="B17" i="1"/>
  <c r="C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11" authorId="0" shapeId="0" xr:uid="{5FBEDAA9-520C-428A-819D-28E1919F8F8B}">
      <text>
        <r>
          <rPr>
            <sz val="9"/>
            <color indexed="81"/>
            <rFont val="Segoe UI"/>
            <family val="2"/>
          </rPr>
          <t xml:space="preserve">Summe über alle Gebäude der gleichen Gebäudekategorie
Somme de tous les bâtiments de la même catégorie
Somma di tutti gli edifici della stessa categoria
</t>
        </r>
      </text>
    </comment>
    <comment ref="B12" authorId="0" shapeId="0" xr:uid="{B84AF365-4D9A-42D7-B4E0-1B4AE46689D3}">
      <text>
        <r>
          <rPr>
            <sz val="9"/>
            <color indexed="81"/>
            <rFont val="Segoe UI"/>
            <family val="2"/>
          </rPr>
          <t xml:space="preserve">Summe über alle Gebäude der gleichen Gebäudekategorie
Somme de tous les bâtiments de la même catégorie
Somma di tutti gli edifici della stessa categoria
</t>
        </r>
      </text>
    </comment>
    <comment ref="B16" authorId="0" shapeId="0" xr:uid="{72F94657-E52B-4BD0-BB05-8718C6703BA2}">
      <text>
        <r>
          <rPr>
            <sz val="9"/>
            <color indexed="81"/>
            <rFont val="Segoe UI"/>
            <family val="2"/>
          </rPr>
          <t xml:space="preserve">Summe über alle Gebäude der gleichen Gebäudekategorie
Somme de tous les bâtiments de la même catégorie
Somma di tutti gli edifici della stessa categoria
</t>
        </r>
      </text>
    </comment>
    <comment ref="B17" authorId="0" shapeId="0" xr:uid="{1C18D352-0A92-433F-AFAB-BE3DE2589F7C}">
      <text>
        <r>
          <rPr>
            <sz val="9"/>
            <color indexed="81"/>
            <rFont val="Segoe UI"/>
            <family val="2"/>
          </rPr>
          <t xml:space="preserve">Summe über alle Gebäude der gleichen Gebäudekategorie
Somme de tous les bâtiments de la même catégorie
Somma di tutti gli edifici della stessa categoria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9" authorId="0" shapeId="0" xr:uid="{479C8CA9-2773-4427-B3F6-57B2F4E71806}">
      <text>
        <r>
          <rPr>
            <sz val="9"/>
            <color indexed="81"/>
            <rFont val="Segoe UI"/>
            <family val="2"/>
          </rPr>
          <t xml:space="preserve">Die Zwischenlagerung von Aushubmaterial auf und in der direkten (max. 100 m) Umgebung des Areals sowie der Abtransport von Aushubmaterial aus mit Altlasten belasteten Böden, sind nicht zu berücksichtigen.
Le stockage intermédiaire de matériaux d'excavation sur et dans les environs directs (max. 100 m) du quartier ainsi que l'évacuation de matériaux d'excavation provenant de sols pollués ne doivent pas être pris en compte.
Lo stoccaggio intermedio del materiale di scavo all'interno e nelle immediate vicinanze (massimo 100 m) del quartiere, così come la rimozione del materiale di scavo da terreni contaminati, non devono essere presi in considerazione. 
</t>
        </r>
      </text>
    </comment>
  </commentList>
</comments>
</file>

<file path=xl/sharedStrings.xml><?xml version="1.0" encoding="utf-8"?>
<sst xmlns="http://schemas.openxmlformats.org/spreadsheetml/2006/main" count="462" uniqueCount="433">
  <si>
    <t>Liste</t>
  </si>
  <si>
    <t>Sprache:</t>
  </si>
  <si>
    <t>deutsch</t>
  </si>
  <si>
    <t>Uebersetzungsliste</t>
  </si>
  <si>
    <t>Minergie-Nachweis: Jahresversion und Jahr</t>
  </si>
  <si>
    <t>Index</t>
  </si>
  <si>
    <t>Auswahl</t>
  </si>
  <si>
    <t>französisch</t>
  </si>
  <si>
    <t>italienisch</t>
  </si>
  <si>
    <t>ja</t>
  </si>
  <si>
    <t>nein</t>
  </si>
  <si>
    <t>Keine Abnahmepflicht Personenwagenabstellplätze</t>
  </si>
  <si>
    <t>Kostendeckende Mietpreise Personenwagenabstellplätze</t>
  </si>
  <si>
    <t>E2.4 Areal-interne Angebote zur Verkehrsreduktion</t>
  </si>
  <si>
    <t>Massnahme zur Reduktion des MIV</t>
  </si>
  <si>
    <t>Umweltfreundliche Mobilität wird für Bewohner und Beschäftigte mit mindestens CHF 175.- pro Person und Jahr gefördert</t>
  </si>
  <si>
    <t>Mindestens drei verschiedene ergänzende Serviceangebote oder Infrastrukturen für Velonutzende werden angeboten.</t>
  </si>
  <si>
    <t>Mietvertragliche Regelungen zum Autobesitz (Wohnen) bzw. festgelegte griffige Kriterien zur Vergabe von Personenwagenabstellplätzen bzw. Parkierungsberechtigungen (Arbeiten)</t>
  </si>
  <si>
    <r>
      <t xml:space="preserve">Gehdistanz zwischen Eingängen aller Gebäude und der nächsten ÖV-Haltestelle </t>
    </r>
    <r>
      <rPr>
        <sz val="9"/>
        <color theme="1"/>
        <rFont val="Calibri"/>
        <family val="2"/>
      </rPr>
      <t>≤</t>
    </r>
    <r>
      <rPr>
        <sz val="9"/>
        <color theme="1"/>
        <rFont val="Arial"/>
        <family val="2"/>
      </rPr>
      <t xml:space="preserve"> 500 Meter</t>
    </r>
  </si>
  <si>
    <t>E2.5 Mobilitätsmanagement zur MIV-Reduktion</t>
  </si>
  <si>
    <t>Güter: Nahrungsmittel, Getränke, Hygieneartikel oder Medikamente, weitere</t>
  </si>
  <si>
    <t>Dienstleitungen: Café, Restaurant, Briefkasten, Bancomat, Co-Working-Space, weitere</t>
  </si>
  <si>
    <t>Soziale Einrichtungen: Kinderbetreuung, Kindergarten, Gemeinschaftseinrichtung, weitere</t>
  </si>
  <si>
    <t>Areal-internes Angebot zur Verkehrsreduktion</t>
  </si>
  <si>
    <t>E2.6 Bidirektionale Ladestationen</t>
  </si>
  <si>
    <t>Anzahl Parkplätze total</t>
  </si>
  <si>
    <t xml:space="preserve">Anzahl Parkplätze mit bidirektionalen Ladestationen </t>
  </si>
  <si>
    <t xml:space="preserve">Anteil Parkplätze mit bidirektionalen Ladestationen </t>
  </si>
  <si>
    <t>Hilfstool Wahlvorgaben</t>
  </si>
  <si>
    <t>B1.4 Sicherstellung einer hohen Nutzungsdichte</t>
  </si>
  <si>
    <t>B1.5 Visualisierung von Messgrössen für Nutzende</t>
  </si>
  <si>
    <t>B1.6 Joker Areal-Management</t>
  </si>
  <si>
    <t>C1.5 Innovative Speicherlösungen</t>
  </si>
  <si>
    <t>C2.2 Einsatz lokaler Ressourcen</t>
  </si>
  <si>
    <t xml:space="preserve">C2.3 Wiederverwendung von Bauteilgruppen </t>
  </si>
  <si>
    <t>C2.4 Wenig Erdbewegungen für Geländegestaltung</t>
  </si>
  <si>
    <t>C2.5 Joker Energie und Treibhausgase</t>
  </si>
  <si>
    <t>D1.4 Durchlüftung im Areal</t>
  </si>
  <si>
    <t>D1.5 Regenwassernutzung</t>
  </si>
  <si>
    <t>D1.6 Keine Unterbauung von Freiflächen</t>
  </si>
  <si>
    <t>D1.7 Joker Komfort und Klimaanpassung</t>
  </si>
  <si>
    <t>E2.3 Minimum an Personenwagenabstellplätzen</t>
  </si>
  <si>
    <t>E2.7 Joker Mobilität</t>
  </si>
  <si>
    <t>Beschreibung des Angebots</t>
  </si>
  <si>
    <t>Vorgabe</t>
  </si>
  <si>
    <t>EBF [m2]</t>
  </si>
  <si>
    <t>Aushubmaterial total</t>
  </si>
  <si>
    <t>Aushubmaterial mit Abtransport</t>
  </si>
  <si>
    <t>Wohnen MFH</t>
  </si>
  <si>
    <t>Wohnen EFH</t>
  </si>
  <si>
    <t>Verwaltung</t>
  </si>
  <si>
    <t xml:space="preserve">Schulen </t>
  </si>
  <si>
    <t>Verkauf</t>
  </si>
  <si>
    <t>Restaurant</t>
  </si>
  <si>
    <t>Versammlung</t>
  </si>
  <si>
    <t>Spitäler</t>
  </si>
  <si>
    <t>Industrie</t>
  </si>
  <si>
    <t>Lager</t>
  </si>
  <si>
    <t>Sportbauten</t>
  </si>
  <si>
    <t>Hallenbäder</t>
  </si>
  <si>
    <t>Weitere</t>
  </si>
  <si>
    <t>Projektwert</t>
  </si>
  <si>
    <t>Bewohner</t>
  </si>
  <si>
    <t>m2</t>
  </si>
  <si>
    <t>Einheit</t>
  </si>
  <si>
    <t>Vollzeitäquivalent</t>
  </si>
  <si>
    <t>Schüler</t>
  </si>
  <si>
    <t>Verkauf (Fachgeschäft)</t>
  </si>
  <si>
    <t>Verkauf (Lebensmittelgeschäft)</t>
  </si>
  <si>
    <t>Anzahl</t>
  </si>
  <si>
    <t>Erfüllt?</t>
  </si>
  <si>
    <t>EBF total der zweitgrössten Gebäudekategorie</t>
  </si>
  <si>
    <t>EBF total der grössten Gebäudekategorie</t>
  </si>
  <si>
    <t>Flächenmässig grösste Gebäudekategorie</t>
  </si>
  <si>
    <t>Flächenmässig zweitgrösste Gebäudekategorie</t>
  </si>
  <si>
    <t>Auswahlfeld</t>
  </si>
  <si>
    <t>Eingabe</t>
  </si>
  <si>
    <t>Anleitung</t>
  </si>
  <si>
    <t>Angaben zur Nutzungsdichte</t>
  </si>
  <si>
    <t>Resultate</t>
  </si>
  <si>
    <t>Version</t>
  </si>
  <si>
    <t>Angaben zu den Angeboten zur Verkehrsreduktion</t>
  </si>
  <si>
    <t>Angaben zu den bidirektionalen Ladestationen</t>
  </si>
  <si>
    <t>Angaben zum Abtransport von Aushubmaterial</t>
  </si>
  <si>
    <t>Energiebezugsfläche Areal total</t>
  </si>
  <si>
    <t>Angaben zu Dachflächen</t>
  </si>
  <si>
    <t>Dachflächen, deren Regenwasser-Abfluss gespeichert und wieder genutzt wird</t>
  </si>
  <si>
    <t>Anteil Dachflächen mit Regenwassernutzung</t>
  </si>
  <si>
    <t>Dachflächen im Areal total</t>
  </si>
  <si>
    <t>Angaben zur Visualisierung</t>
  </si>
  <si>
    <t>Energiebezugsfläche mit Wohnnutzung mit Visualisierung der Messgrössen</t>
  </si>
  <si>
    <t>Anteil Wohnnutzung mit Visualisierung der Messgrössen</t>
  </si>
  <si>
    <t>Energiebezugsfläche mit Wohnnutzung (Gebäudekategorien I + II) total</t>
  </si>
  <si>
    <t>Angaben zu Personenwagenabstellplätzen</t>
  </si>
  <si>
    <t>Zentrum</t>
  </si>
  <si>
    <t>Agglomeration</t>
  </si>
  <si>
    <t>Land</t>
  </si>
  <si>
    <t>Anzahl Wohnungen</t>
  </si>
  <si>
    <t>Dieses Hilfstool ist für die Berechnung in Wohnnutzungen und Verwaltung geeignet (Gebäudekategorien I - III). Andere Nutzungen müssen gemäss VSS-Norm 40 281 berechnet werden.</t>
  </si>
  <si>
    <t>Personenwagenabstellplätze für Wohnnutzung</t>
  </si>
  <si>
    <t>Personenwagenabstellplätze für Verwaltung</t>
  </si>
  <si>
    <t>PP/Wohnung</t>
  </si>
  <si>
    <t>PP/100m2 BGF</t>
  </si>
  <si>
    <t>Anzahl Personenwagenabstellplätze</t>
  </si>
  <si>
    <t>Lage des Areals</t>
  </si>
  <si>
    <t>Angaben zu den Massnahmen</t>
  </si>
  <si>
    <t>Joker</t>
  </si>
  <si>
    <t>Thema Joker</t>
  </si>
  <si>
    <t>Titel</t>
  </si>
  <si>
    <t>Beschreibung und Wirkung</t>
  </si>
  <si>
    <t>Nachweise / Beilagen</t>
  </si>
  <si>
    <t>B1.6, C2.5, D1.7 und E2.7 (Joker Wahlvorgaben)</t>
  </si>
  <si>
    <t>Angaben zur Massnahme</t>
  </si>
  <si>
    <t>EBF total</t>
  </si>
  <si>
    <t>Flächenanteil 80% oder mehr -&gt; 2. Gebäudekategorie muss nicht eingegeben werden</t>
  </si>
  <si>
    <t>Bruttogeschossfläche Verwaltung</t>
  </si>
  <si>
    <t>Art des Bauvorhabens</t>
  </si>
  <si>
    <t>Gebäudebezeichnung</t>
  </si>
  <si>
    <t>x</t>
  </si>
  <si>
    <t>Neubau</t>
  </si>
  <si>
    <t>Erneuerung</t>
  </si>
  <si>
    <t>Angaben zu Gebäuden mit Einsatz lokaler Ressourcen</t>
  </si>
  <si>
    <t>Anzahl Gebäude mit Einsatz lokaler Ressourcen</t>
  </si>
  <si>
    <t>Anzahl lokale Bauteilgruppen</t>
  </si>
  <si>
    <t>Fassade</t>
  </si>
  <si>
    <t>Decke</t>
  </si>
  <si>
    <t>Innenwände</t>
  </si>
  <si>
    <t>Dach</t>
  </si>
  <si>
    <t>Bodenplatte / Fundament / Aussenwände unter Terrain</t>
  </si>
  <si>
    <t>Fenster und Türen</t>
  </si>
  <si>
    <t>Anzahl Gebäude im Areal total</t>
  </si>
  <si>
    <t>Hauptschichten / -komponenten</t>
  </si>
  <si>
    <t>Aufschüttung, Hinterfüllung, Einbau von zugeführtem Boden, Belag</t>
  </si>
  <si>
    <t>Tragelement, Dämmung, Bekleidung aussen, Bekleidung innen</t>
  </si>
  <si>
    <t>Tragelement, Bodenbelag inklusive Unterlagsboden, Deckenbekleidung</t>
  </si>
  <si>
    <t>Tragelement, Wandbekleidung</t>
  </si>
  <si>
    <t>Tragelement, Dämmung, Deckung / Schutzschicht und Abdichtung, Bekleidung innen</t>
  </si>
  <si>
    <t>Tragelement, Dämmung</t>
  </si>
  <si>
    <t>Rahmen, Türblatt</t>
  </si>
  <si>
    <t>Bauteilgruppen</t>
  </si>
  <si>
    <t>Bitte ankreuzen, wenn mindestens eine der Hauptschicht / -komponente lokal ist</t>
  </si>
  <si>
    <r>
      <t>m</t>
    </r>
    <r>
      <rPr>
        <vertAlign val="superscript"/>
        <sz val="11"/>
        <color theme="1"/>
        <rFont val="Arial"/>
        <family val="2"/>
      </rPr>
      <t>2</t>
    </r>
  </si>
  <si>
    <r>
      <t>m</t>
    </r>
    <r>
      <rPr>
        <vertAlign val="superscript"/>
        <sz val="11"/>
        <color theme="1"/>
        <rFont val="Arial"/>
        <family val="2"/>
      </rPr>
      <t>3</t>
    </r>
  </si>
  <si>
    <r>
      <t>m</t>
    </r>
    <r>
      <rPr>
        <vertAlign val="superscript"/>
        <sz val="11"/>
        <color theme="1"/>
        <rFont val="Arial"/>
        <family val="2"/>
      </rPr>
      <t>3</t>
    </r>
    <r>
      <rPr>
        <sz val="11"/>
        <color theme="1"/>
        <rFont val="Arial"/>
        <family val="2"/>
      </rPr>
      <t>/m</t>
    </r>
    <r>
      <rPr>
        <vertAlign val="superscript"/>
        <sz val="11"/>
        <color theme="1"/>
        <rFont val="Arial"/>
        <family val="2"/>
      </rPr>
      <t>2</t>
    </r>
  </si>
  <si>
    <t>≤</t>
  </si>
  <si>
    <t>Baugrubenaushub / Umgebungsgestaltung</t>
  </si>
  <si>
    <t>Prezzi di affitto a copertura dei costi per i posti auto</t>
  </si>
  <si>
    <t xml:space="preserve">La mobilità sostenibile viene incentivata per le/i residenti e le/i dipendenti con almeno 175.- CHF all’anno per persona. </t>
  </si>
  <si>
    <t>Per gli utilizzatori di biciclette, esistono almeno tre diverse offerte di servizi complementari oppure di infrastrutture.</t>
  </si>
  <si>
    <t>Misure per la riduzione del TPM</t>
  </si>
  <si>
    <t>Indicazioni sulle misure</t>
  </si>
  <si>
    <t>Richiesta</t>
  </si>
  <si>
    <t>Beni di prima necessità: alimenti, bevande, articoli per l’igiene o medicamenti, altro</t>
  </si>
  <si>
    <t>Servizi: bar, ristoranti, caselle postali, bancomat, spazi di co-working, altro</t>
  </si>
  <si>
    <t>Istituzioni sociali: strutture per l’infanzia, asili, istituti comuni, altro</t>
  </si>
  <si>
    <t>Offerta per la riduzione del traffico interna al quartiere</t>
  </si>
  <si>
    <t>Campo di selezione</t>
  </si>
  <si>
    <t>Numero totale di parcheggi</t>
  </si>
  <si>
    <t>Numero di parcheggi con stazione di ricarica bidirezionale</t>
  </si>
  <si>
    <t>Parte di superficie uguale a 80% o superiore -&gt; Non è necessario inserire la seconda categoria di edificio</t>
  </si>
  <si>
    <t xml:space="preserve">B1.4 Garantire un’elevata densità di utilizzo </t>
  </si>
  <si>
    <t>B1.5 Visualizzazione delle grandezze misurabili per gli utenti</t>
  </si>
  <si>
    <t xml:space="preserve">B1.6 Jolly gestione del quartiere </t>
  </si>
  <si>
    <t xml:space="preserve">C1.5 Soluzioni di stoccaggio innovative </t>
  </si>
  <si>
    <t xml:space="preserve">C2.2 Utilizzo di risorse locali </t>
  </si>
  <si>
    <t xml:space="preserve">C2.3 Riutilizzo di gruppi di componenti </t>
  </si>
  <si>
    <t xml:space="preserve">C2.4 Movimenti di terra minimi nella progettazione del terreno </t>
  </si>
  <si>
    <t xml:space="preserve">C2.5 Jolly energia e gas serra </t>
  </si>
  <si>
    <t xml:space="preserve">D1.4 Ventilazione nel quartiere </t>
  </si>
  <si>
    <t xml:space="preserve">D1.5 Utilizzo dell’acqua piovana </t>
  </si>
  <si>
    <t xml:space="preserve">D1.6 Nessuna sotto-costruzione degli spazi aperti </t>
  </si>
  <si>
    <t xml:space="preserve">D1.7 Jolly comfort e adattamento al clima </t>
  </si>
  <si>
    <t xml:space="preserve">E2.3 Minimizzazione  del numero di parcheggi per auto </t>
  </si>
  <si>
    <t xml:space="preserve">E2.4 Offerte interne al quartiere per ridurre il traffico </t>
  </si>
  <si>
    <t xml:space="preserve">E2.5 Gestione della mobilità per la riduzione del TPM </t>
  </si>
  <si>
    <t xml:space="preserve">E2.6 Stazioni di ricarica bidirezionali </t>
  </si>
  <si>
    <t xml:space="preserve">E2.7 Jolly mobilità </t>
  </si>
  <si>
    <t>Jolly</t>
  </si>
  <si>
    <t>Tema jolly</t>
  </si>
  <si>
    <t>Titolo</t>
  </si>
  <si>
    <t>Descrizione ed effetto</t>
  </si>
  <si>
    <t>Abitazioni PF</t>
  </si>
  <si>
    <t>Abitazioni MF</t>
  </si>
  <si>
    <t xml:space="preserve">Amministrazione </t>
  </si>
  <si>
    <t>Scuole</t>
  </si>
  <si>
    <t>Negozi</t>
  </si>
  <si>
    <t>Ristoranti</t>
  </si>
  <si>
    <t>Locali pubblici</t>
  </si>
  <si>
    <t>Ospedali</t>
  </si>
  <si>
    <t>Magazzini</t>
  </si>
  <si>
    <t>Impianti sportivi</t>
  </si>
  <si>
    <t>Piscine coperte</t>
  </si>
  <si>
    <t>Altri</t>
  </si>
  <si>
    <t>Vendita (negozi specializzati)</t>
  </si>
  <si>
    <t>Vendita (negozi di alimentari)</t>
  </si>
  <si>
    <t>Numero</t>
  </si>
  <si>
    <t>sì</t>
  </si>
  <si>
    <t>no</t>
  </si>
  <si>
    <t>Istruzioni</t>
  </si>
  <si>
    <t>Categoria di edificio maggiore in termini di superficie</t>
  </si>
  <si>
    <t>AE totale della categoria di edificio maggiore</t>
  </si>
  <si>
    <t>Seconda maggiore categoria di edificio in termini di superficie</t>
  </si>
  <si>
    <t xml:space="preserve">AE totale della seconda maggiore categoria di edificio </t>
  </si>
  <si>
    <t xml:space="preserve">AE totale </t>
  </si>
  <si>
    <t>AE [m2]</t>
  </si>
  <si>
    <t>Unità</t>
  </si>
  <si>
    <t>Residenti</t>
  </si>
  <si>
    <t>Studenti</t>
  </si>
  <si>
    <t>Indicazioni sulla densità di utilizzo</t>
  </si>
  <si>
    <t xml:space="preserve">Risultati </t>
  </si>
  <si>
    <t>Indicazioni sull'offerta di riduzione del traffico</t>
  </si>
  <si>
    <t>Descrizione dell'offerta</t>
  </si>
  <si>
    <t>Versione</t>
  </si>
  <si>
    <t>Indicazioni sulle stazioni di ricarica bidirezionali</t>
  </si>
  <si>
    <t>Indicazioni sulla rimozione del materiale di scavo</t>
  </si>
  <si>
    <t>Totale materiale di scavo</t>
  </si>
  <si>
    <t>Superficie dei tetti con stoccaggio e recupero delle acque meteoriche</t>
  </si>
  <si>
    <t>Indicazioni sulle superfici dei tetti</t>
  </si>
  <si>
    <t>Percentuale delle superfici dei tetti con utilizzo dell'acqua piovana</t>
  </si>
  <si>
    <t>Indicazioni sulla visualizzazione</t>
  </si>
  <si>
    <t>Percentuale di utilizzo residenziale con visualizzazione delle grandezze misurate</t>
  </si>
  <si>
    <t>Indicazioni sui posti auto</t>
  </si>
  <si>
    <t>Superficie lorda amministrazione</t>
  </si>
  <si>
    <t>Valore di progetto</t>
  </si>
  <si>
    <t>Requisito</t>
  </si>
  <si>
    <t>Soddisfatto?</t>
  </si>
  <si>
    <t>Posti auto a utilizzo residenziale</t>
  </si>
  <si>
    <t>Posti auto a utilizzo amministrativo</t>
  </si>
  <si>
    <t>Lista</t>
  </si>
  <si>
    <t>Facciata</t>
  </si>
  <si>
    <t>Pareti interne</t>
  </si>
  <si>
    <t xml:space="preserve">Tetto </t>
  </si>
  <si>
    <t>Platea / fondazioni / pareti esterne contro terreno</t>
  </si>
  <si>
    <t>Finestre e porte</t>
  </si>
  <si>
    <t>Nuova costruzione</t>
  </si>
  <si>
    <t>Indicazioni sugli edifici che utilizzano risorse locali</t>
  </si>
  <si>
    <t>Designazione dell'edificio</t>
  </si>
  <si>
    <t>Numero di gruppi di componenti costruttive locali</t>
  </si>
  <si>
    <t>Numero di edifici con impiego di risorse locali</t>
  </si>
  <si>
    <t>Strati / componenti principali</t>
  </si>
  <si>
    <t>Rinterro, riempimento, installazione di terreno aggiunto, pavimentazione</t>
  </si>
  <si>
    <t>Elemento portante, isolamento, rivestimento esterno, rivestimento interno</t>
  </si>
  <si>
    <t>Elemento portante, rivestimento del pavimento compreso il sottofondo, rivestimento del soffitto</t>
  </si>
  <si>
    <t>Elemento portante, rivestimento delle pareti</t>
  </si>
  <si>
    <t>Elemento portante, isolamento, copertura / strato di protezione e impermeabilizzazione, rivestimento interno</t>
  </si>
  <si>
    <t>Elemento portante, isolamento</t>
  </si>
  <si>
    <t>Telaio, battente</t>
  </si>
  <si>
    <t>L'acquisto/affitto di posti auto è facoltativo</t>
  </si>
  <si>
    <t>Regolamentazione, nei contratti di locazione, della proprietà dell’auto (abitazione) oppure criteri definiti ed efficaci per l’assegnazione di posti auto rispettivamente per l’assegnazione di permessi di parcheggio (posti di lavoro).</t>
  </si>
  <si>
    <t>Distanza a piedi tra gli ingressi di tutti gli edifici e la fermata del trasporto pubblico più vicina ≤ 500 metri</t>
  </si>
  <si>
    <t>Strumento di verifica requisiti facoltativi</t>
  </si>
  <si>
    <t>Verifiche / allegati</t>
  </si>
  <si>
    <t>B1.6, C2.5, D1.7 e E2.7 (jolly requisiti facoltativi)</t>
  </si>
  <si>
    <t>Equivalenza a tempo pieno</t>
  </si>
  <si>
    <t>Parte di parcheggi con stazioni di ricarica bidirezionali</t>
  </si>
  <si>
    <t>Materiale di scavo con sgombero</t>
  </si>
  <si>
    <t>Superficie di riferimento energetico totale del quartiere</t>
  </si>
  <si>
    <t>Superficie totale dei tetti del quartiere</t>
  </si>
  <si>
    <t>Totale di superficie di riferimento energetico a utilizzo abitativo (categorie di edificio I + II)</t>
  </si>
  <si>
    <t>Superficie di riferimento energetico a utilizzo residenziale con visualizzazione delle grandezze misurate</t>
  </si>
  <si>
    <t>Questo strumento di verifica è adatto al calcolo in ambito residenziale e amministrativo (categorie di edificio I-III). Gli altri tipi di utilizzo devono essere calcolati secondo la norma VSS 40 281.</t>
  </si>
  <si>
    <t>Posizione del quartiere</t>
  </si>
  <si>
    <t>Numero di posti auto</t>
  </si>
  <si>
    <t>Numero di appartamenti</t>
  </si>
  <si>
    <t>Parcheggi/abitazione</t>
  </si>
  <si>
    <t>Parcheggi/100m2 SUL</t>
  </si>
  <si>
    <t>Soletta</t>
  </si>
  <si>
    <t>Numero totale di edifici nel quartiere</t>
  </si>
  <si>
    <t>Tipo di edificazione</t>
  </si>
  <si>
    <t>Gruppi di componenti costruttivi</t>
  </si>
  <si>
    <t>Per favore crociare se almeno uno degli strati / delle componenti principali è locale</t>
  </si>
  <si>
    <t>Pas d'obligation d'achat de places de parc pour voitures</t>
  </si>
  <si>
    <t>Loyers couvrant les coûts des places de parc pour voitures</t>
  </si>
  <si>
    <t>La mobilité respectueuse de l'environnement est encouragée pour les habitants et les employés à hauteur d'au moins 175 CHF par personne et par an.</t>
  </si>
  <si>
    <t>Au moins trois offres de services ou infrastructures complémentaires différentes sont proposées aux utilisateurs de vélos.</t>
  </si>
  <si>
    <t>Dispositions du contrat de location d'un logement concernant la possession d'une voiture ou critères efficaces pour l'attribution de places de parc ou d'autorisations de stationnement (travail).</t>
  </si>
  <si>
    <t>Distance de marche entre les entrées de tous les bâtiments et l'arrêt de transports publics le plus proche ≤ 500 mètres.</t>
  </si>
  <si>
    <t>Outil d'aide Mesures à choix</t>
  </si>
  <si>
    <t>Mesure de réduction du TIM</t>
  </si>
  <si>
    <t>Indications sur les mesures</t>
  </si>
  <si>
    <t>Saisie</t>
  </si>
  <si>
    <t>Marchandises : denrées alimentaires, boissons, articles d'hygiène ou médicaments, autres</t>
  </si>
  <si>
    <t>Services : Café, restaurant, boîte aux lettres, bancomat, espace de co-working, autres</t>
  </si>
  <si>
    <t>Institutions sociales : Garde d'enfants, jardin d'enfants, centre communautaire, autres</t>
  </si>
  <si>
    <t>Offre interne au quartier pour la réduction du trafic</t>
  </si>
  <si>
    <t>Champ de sélection</t>
  </si>
  <si>
    <t>Nombre total de places de parc pour voitures</t>
  </si>
  <si>
    <t xml:space="preserve">Nombre de places de parc avec stations de recharge bidirectionnelles </t>
  </si>
  <si>
    <t>Part de la surface de 80% ou plus -&gt; 2ème catégorie de bâtiment ne doit pas être saisie</t>
  </si>
  <si>
    <t>B1.4 Assurer une densité d'utilisation élevée</t>
  </si>
  <si>
    <t>B1.5 Visualisation des évaluations pour les utilisateurs</t>
  </si>
  <si>
    <t>C1.5 Solutions de stockage innovantes</t>
  </si>
  <si>
    <t>C2.2 Utilisation de ressources locales</t>
  </si>
  <si>
    <t xml:space="preserve">C2.3 Réutilisation de groupes d'éléments de construction </t>
  </si>
  <si>
    <t>C2.4 Peu de mouvements de terre pour l'aménagement du terrain</t>
  </si>
  <si>
    <t>C2.5 Joker énergie et gaz à effet de serre</t>
  </si>
  <si>
    <t>D1.4 Aération du quartier</t>
  </si>
  <si>
    <t>D1.5 Récupération d'eau de pluie</t>
  </si>
  <si>
    <t>D1.6 Pas de constructions souterraines en dehors de l'emprise au sol des bâtiments</t>
  </si>
  <si>
    <t>E2.3 Minimisation des places de parc</t>
  </si>
  <si>
    <t>E2.4 Mesures de réduction du trafic</t>
  </si>
  <si>
    <t>E2.5 Gestion de la mobilité pour réduire le TIM</t>
  </si>
  <si>
    <t>E2.6 Stations de recharge bidirectionnelles</t>
  </si>
  <si>
    <t>Thème Joker</t>
  </si>
  <si>
    <t>Titre</t>
  </si>
  <si>
    <t>Description et impact</t>
  </si>
  <si>
    <t>Justificatifs / Annexes</t>
  </si>
  <si>
    <t>B1.6, C2.5, D1.7 et E2.7 (Joker mesures à choix)</t>
  </si>
  <si>
    <t>Indications sur la mesure</t>
  </si>
  <si>
    <t>Habitat collectif</t>
  </si>
  <si>
    <t>Habitat individuel</t>
  </si>
  <si>
    <t>Administration</t>
  </si>
  <si>
    <t>École</t>
  </si>
  <si>
    <t>Commerce</t>
  </si>
  <si>
    <t>Restauration</t>
  </si>
  <si>
    <t>Lieu de rassemblement</t>
  </si>
  <si>
    <t>Hôpital</t>
  </si>
  <si>
    <t>Dépôt</t>
  </si>
  <si>
    <t>Installations sportives</t>
  </si>
  <si>
    <t>Piscines couvertes</t>
  </si>
  <si>
    <t>Autres</t>
  </si>
  <si>
    <t>Vente (magasin spécialisé)</t>
  </si>
  <si>
    <t>Vente (magasin d'alimentation)</t>
  </si>
  <si>
    <t>Nombre</t>
  </si>
  <si>
    <t>oui</t>
  </si>
  <si>
    <t>non</t>
  </si>
  <si>
    <t>Instructions</t>
  </si>
  <si>
    <t>Catégorie de bâtiment la plus grande en termes de surface</t>
  </si>
  <si>
    <t>SRE totale de la plus grande catégorie de bâtiments</t>
  </si>
  <si>
    <t>Surface de la deuxième plus grande catégorie de bâtiments</t>
  </si>
  <si>
    <t>SRE totale de la deuxième catégorie de bâtiments la plus importante en surface</t>
  </si>
  <si>
    <t>SRE total</t>
  </si>
  <si>
    <t>SRE [m2]</t>
  </si>
  <si>
    <t>Unité</t>
  </si>
  <si>
    <t>Occupants</t>
  </si>
  <si>
    <t>Équivalent temps plein</t>
  </si>
  <si>
    <t>Élèves</t>
  </si>
  <si>
    <t>Données sur la densité d'utilisation</t>
  </si>
  <si>
    <t>Résultats</t>
  </si>
  <si>
    <t>Indications sur les offres de réduction du trafic</t>
  </si>
  <si>
    <t>Description de l'offre</t>
  </si>
  <si>
    <t>Indications sur les stations de recharge bidirectionnelles</t>
  </si>
  <si>
    <t xml:space="preserve">Proportion de places de stationnement équipées de stations de recharge bidirectionnelles </t>
  </si>
  <si>
    <t>Indications sur l'évacuation des matériaux d'excavation</t>
  </si>
  <si>
    <t>Total des matériaux d'excavation</t>
  </si>
  <si>
    <t>Matériaux d'excavation avec évacuation</t>
  </si>
  <si>
    <t>Surface de référence énergétique du quartier total</t>
  </si>
  <si>
    <t>Surfaces de toitures dans le quartier total</t>
  </si>
  <si>
    <t>Surfaces de toitures dont l'écoulement des eaux de pluie est accumulé et réutilisé</t>
  </si>
  <si>
    <t>Données sur les surfaces de toitures</t>
  </si>
  <si>
    <t>Part des surfaces de toitures avec utilisation de l'eau de pluie</t>
  </si>
  <si>
    <t>Indications sur la visualisation</t>
  </si>
  <si>
    <t>Surface de référence énergétique avec utilisation résidentielle (catégories de bâtiments I + II) totale</t>
  </si>
  <si>
    <t>Surface de référence énergétique avec utilisation résidentielle avec visualisation des grandeurs mesurées</t>
  </si>
  <si>
    <t>Part d'utilisation résidentielle avec visualisation des grandeurs mesurées</t>
  </si>
  <si>
    <t>Données sur les places de parc pour voitures</t>
  </si>
  <si>
    <t>Cet outil d'aide est adapté au calcul dans les affectations résidentielles et administratives (catégories de bâtiments I - III). Les autres affectations doivent être calculées selon la norme VSS 40 281.</t>
  </si>
  <si>
    <t>Situation du quartier</t>
  </si>
  <si>
    <t>Nombre de places de parc pour voitures</t>
  </si>
  <si>
    <t>Nombre de logements</t>
  </si>
  <si>
    <t>Surface brute de plancher de l'administration</t>
  </si>
  <si>
    <t>Valeur du projet</t>
  </si>
  <si>
    <t>Objectif</t>
  </si>
  <si>
    <t>Respecté par le projet?</t>
  </si>
  <si>
    <t>Places de parc pour voitures (pour l'habitat)</t>
  </si>
  <si>
    <t>Places de parc pour voitures (pour l'administration)</t>
  </si>
  <si>
    <t>PP/logement</t>
  </si>
  <si>
    <t>PP/100m2 de surface brute</t>
  </si>
  <si>
    <t>Excavation de la fouille / aménagement des alentours</t>
  </si>
  <si>
    <t>Scavo / sistemazione del paesaggio</t>
  </si>
  <si>
    <t>Façade</t>
  </si>
  <si>
    <t>Plafond</t>
  </si>
  <si>
    <t>Murs intérieurs</t>
  </si>
  <si>
    <t>Toiture</t>
  </si>
  <si>
    <t>Dalle de sol / fondations / murs extérieurs sous le terrain</t>
  </si>
  <si>
    <t>Fenêtres et portes</t>
  </si>
  <si>
    <t>Nouvelle construction</t>
  </si>
  <si>
    <t>Rénovation</t>
  </si>
  <si>
    <t>Risanamento</t>
  </si>
  <si>
    <t>Données sur les bâtiments utilisant des ressources locales</t>
  </si>
  <si>
    <t>Nombre total de bâtiments sur le quartier</t>
  </si>
  <si>
    <t>Désignation du bâtiment</t>
  </si>
  <si>
    <t>Type de construction</t>
  </si>
  <si>
    <t>Nombre de groupes d'éléments de construction locaux</t>
  </si>
  <si>
    <t>Nombre de bâtiments avec utilisation de ressources locales</t>
  </si>
  <si>
    <t>Couches / composants principaux</t>
  </si>
  <si>
    <t>Remblai, remblayage, mise en place de sol apporté, revêtement</t>
  </si>
  <si>
    <t>Élément porteur, isolation, revêtement extérieur, revêtement intérieur</t>
  </si>
  <si>
    <t>Élément porteur, revêtement de sol y compris sous-couche, revêtement de plafond</t>
  </si>
  <si>
    <t>Élément porteur, revêtement mural</t>
  </si>
  <si>
    <t>Élément porteur, isolation, couverture / couche de protection et étanchéité, revêtement intérieur</t>
  </si>
  <si>
    <t>Élément porteur, isolation</t>
  </si>
  <si>
    <t>Cadre, panneau de porte</t>
  </si>
  <si>
    <t>Groupes d'éléments de construction</t>
  </si>
  <si>
    <t>Veuillez cocher si au moins une des couches ou un des composants principaux est local</t>
  </si>
  <si>
    <t>B1.6 Joker "Gérance du quartier"</t>
  </si>
  <si>
    <t>D1.7 Joker "Confort et adaptation climat"</t>
  </si>
  <si>
    <t>E2.7 Joker "Mobilité"</t>
  </si>
  <si>
    <t>≥</t>
  </si>
  <si>
    <t>Centre</t>
  </si>
  <si>
    <t>Agglomération</t>
  </si>
  <si>
    <t>Hors agglomération</t>
  </si>
  <si>
    <t>Centro</t>
  </si>
  <si>
    <t>Agglomerati</t>
  </si>
  <si>
    <t>Campagna</t>
  </si>
  <si>
    <t>Bedienungshäufigkeit des öffentlichen Verkehrs</t>
  </si>
  <si>
    <t>Fréquence des transports publics</t>
  </si>
  <si>
    <t>Frequenza dei trasporti pubblici</t>
  </si>
  <si>
    <t>Anteil Langsamverkehr am gesamten erzeugten Personenverkehr</t>
  </si>
  <si>
    <t>Quota della mobilità dolce sul totale del traffico passeggeri generato</t>
  </si>
  <si>
    <t>Part de la mobilité douce dans l'ensemble de la génération du trafic de personne</t>
  </si>
  <si>
    <t>&gt; 50%</t>
  </si>
  <si>
    <t>&lt; 25%</t>
  </si>
  <si>
    <t>25 - 50%</t>
  </si>
  <si>
    <t>A</t>
  </si>
  <si>
    <t>B</t>
  </si>
  <si>
    <t>C</t>
  </si>
  <si>
    <r>
      <rPr>
        <sz val="9"/>
        <color theme="1"/>
        <rFont val="Aptos Narrow"/>
        <family val="2"/>
      </rPr>
      <t>≥</t>
    </r>
    <r>
      <rPr>
        <sz val="9"/>
        <color theme="1"/>
        <rFont val="Arial"/>
        <family val="2"/>
      </rPr>
      <t xml:space="preserve"> 4-mal pro Stunde</t>
    </r>
  </si>
  <si>
    <r>
      <rPr>
        <sz val="9"/>
        <color theme="1"/>
        <rFont val="Aptos Narrow"/>
        <family val="2"/>
      </rPr>
      <t>≥</t>
    </r>
    <r>
      <rPr>
        <sz val="9"/>
        <color theme="1"/>
        <rFont val="Arial"/>
        <family val="2"/>
      </rPr>
      <t xml:space="preserve"> 4 fois par heure</t>
    </r>
  </si>
  <si>
    <t>1 - 4-mal pro Stunde</t>
  </si>
  <si>
    <t>Nicht mit ÖV erschlossen</t>
  </si>
  <si>
    <t>Pas desservi par les TP</t>
  </si>
  <si>
    <r>
      <rPr>
        <sz val="9"/>
        <color theme="1"/>
        <rFont val="Aptos Narrow"/>
        <family val="2"/>
      </rPr>
      <t>1 -</t>
    </r>
    <r>
      <rPr>
        <sz val="9"/>
        <color theme="1"/>
        <rFont val="Arial"/>
        <family val="2"/>
      </rPr>
      <t xml:space="preserve"> 4 fois par heure</t>
    </r>
  </si>
  <si>
    <t>1 - 4 volte all'ora</t>
  </si>
  <si>
    <t>Non servito dai mezzi pubblici</t>
  </si>
  <si>
    <t>≥ 4 volte all'ora</t>
  </si>
  <si>
    <t>D</t>
  </si>
  <si>
    <t>E</t>
  </si>
  <si>
    <t>Standort-Typ</t>
  </si>
  <si>
    <t>Type de localisation</t>
  </si>
  <si>
    <t>Tipo di localizzazione</t>
  </si>
  <si>
    <t>Minimum</t>
  </si>
  <si>
    <t>Minimo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</si>
</sst>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0.0"/>
    <numFmt numFmtId="166" formatCode="0.0"/>
  </numFmts>
  <fonts count="25" x14ac:knownFonts="1">
    <font>
      <sz val="11"/>
      <color theme="1"/>
      <name val="Calibri"/>
      <family val="2"/>
      <scheme val="minor"/>
    </font>
    <font>
      <sz val="11"/>
      <color theme="1"/>
      <name val="Calibri"/>
      <family val="2"/>
      <scheme val="minor"/>
    </font>
    <font>
      <b/>
      <sz val="9"/>
      <name val="Arial"/>
      <family val="2"/>
    </font>
    <font>
      <sz val="9"/>
      <name val="Arial"/>
      <family val="2"/>
    </font>
    <font>
      <sz val="9"/>
      <color theme="1"/>
      <name val="Arial"/>
      <family val="2"/>
    </font>
    <font>
      <b/>
      <sz val="11"/>
      <color theme="1"/>
      <name val="Arial"/>
      <family val="2"/>
    </font>
    <font>
      <sz val="11"/>
      <color theme="1"/>
      <name val="Arial"/>
      <family val="2"/>
    </font>
    <font>
      <sz val="8"/>
      <name val="Arial"/>
      <family val="2"/>
    </font>
    <font>
      <sz val="9"/>
      <color theme="0"/>
      <name val="Arial"/>
      <family val="2"/>
    </font>
    <font>
      <sz val="9"/>
      <color theme="1"/>
      <name val="Calibri"/>
      <family val="2"/>
    </font>
    <font>
      <sz val="11"/>
      <name val="Arial"/>
      <family val="2"/>
    </font>
    <font>
      <sz val="10"/>
      <color theme="1"/>
      <name val="Arial"/>
      <family val="2"/>
    </font>
    <font>
      <sz val="8"/>
      <name val="Calibri"/>
      <family val="2"/>
      <scheme val="minor"/>
    </font>
    <font>
      <sz val="9"/>
      <color indexed="81"/>
      <name val="Segoe UI"/>
      <family val="2"/>
    </font>
    <font>
      <b/>
      <sz val="11"/>
      <color rgb="FFFF0000"/>
      <name val="Arial"/>
      <family val="2"/>
    </font>
    <font>
      <b/>
      <sz val="12"/>
      <color theme="1"/>
      <name val="Arial"/>
      <family val="2"/>
    </font>
    <font>
      <i/>
      <sz val="11"/>
      <color theme="1"/>
      <name val="Arial"/>
      <family val="2"/>
    </font>
    <font>
      <b/>
      <sz val="11"/>
      <name val="Arial"/>
      <family val="2"/>
    </font>
    <font>
      <sz val="11"/>
      <color theme="0"/>
      <name val="Arial"/>
      <family val="2"/>
    </font>
    <font>
      <vertAlign val="superscript"/>
      <sz val="11"/>
      <color theme="1"/>
      <name val="Arial"/>
      <family val="2"/>
    </font>
    <font>
      <sz val="11"/>
      <color theme="1"/>
      <name val="Aptos Narrow"/>
      <family val="2"/>
    </font>
    <font>
      <sz val="9"/>
      <color theme="1"/>
      <name val="Aptos Narrow"/>
      <family val="2"/>
    </font>
    <font>
      <b/>
      <sz val="10"/>
      <color theme="1"/>
      <name val="Arial"/>
      <family val="2"/>
    </font>
    <font>
      <sz val="11"/>
      <color theme="6"/>
      <name val="Arial"/>
      <family val="2"/>
    </font>
    <font>
      <b/>
      <sz val="11"/>
      <color theme="6"/>
      <name val="Arial"/>
      <family val="2"/>
    </font>
  </fonts>
  <fills count="12">
    <fill>
      <patternFill patternType="none"/>
    </fill>
    <fill>
      <patternFill patternType="gray125"/>
    </fill>
    <fill>
      <patternFill patternType="solid">
        <fgColor theme="0"/>
        <bgColor indexed="64"/>
      </patternFill>
    </fill>
    <fill>
      <patternFill patternType="solid">
        <fgColor rgb="FFCCFF66"/>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rgb="FFEEFFDD"/>
        <bgColor indexed="64"/>
      </patternFill>
    </fill>
    <fill>
      <patternFill patternType="solid">
        <fgColor rgb="FFFFB7B7"/>
        <bgColor indexed="64"/>
      </patternFill>
    </fill>
    <fill>
      <patternFill patternType="solid">
        <fgColor rgb="FFF727BC"/>
        <bgColor indexed="64"/>
      </patternFill>
    </fill>
  </fills>
  <borders count="59">
    <border>
      <left/>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style="thin">
        <color auto="1"/>
      </right>
      <top/>
      <bottom style="hair">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diagonal/>
    </border>
    <border>
      <left style="thin">
        <color auto="1"/>
      </left>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auto="1"/>
      </right>
      <top style="thin">
        <color auto="1"/>
      </top>
      <bottom/>
      <diagonal/>
    </border>
    <border>
      <left/>
      <right/>
      <top style="hair">
        <color auto="1"/>
      </top>
      <bottom/>
      <diagonal/>
    </border>
    <border>
      <left/>
      <right/>
      <top style="thin">
        <color auto="1"/>
      </top>
      <bottom/>
      <diagonal/>
    </border>
    <border>
      <left/>
      <right style="thin">
        <color auto="1"/>
      </right>
      <top/>
      <bottom/>
      <diagonal/>
    </border>
    <border>
      <left style="thin">
        <color auto="1"/>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thin">
        <color auto="1"/>
      </left>
      <right style="hair">
        <color auto="1"/>
      </right>
      <top/>
      <bottom style="hair">
        <color auto="1"/>
      </bottom>
      <diagonal/>
    </border>
    <border>
      <left style="hair">
        <color auto="1"/>
      </left>
      <right/>
      <top style="thin">
        <color auto="1"/>
      </top>
      <bottom style="thin">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thin">
        <color auto="1"/>
      </top>
      <bottom style="hair">
        <color auto="1"/>
      </bottom>
      <diagonal/>
    </border>
    <border>
      <left style="hair">
        <color auto="1"/>
      </left>
      <right/>
      <top/>
      <bottom style="hair">
        <color auto="1"/>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52">
    <xf numFmtId="0" fontId="0" fillId="0" borderId="0" xfId="0"/>
    <xf numFmtId="0" fontId="2" fillId="0" borderId="1" xfId="0" applyFont="1" applyBorder="1" applyAlignment="1">
      <alignment horizontal="center" wrapText="1"/>
    </xf>
    <xf numFmtId="0" fontId="2" fillId="2" borderId="1" xfId="0" applyFont="1" applyFill="1" applyBorder="1" applyAlignment="1">
      <alignment horizontal="center" wrapText="1"/>
    </xf>
    <xf numFmtId="0" fontId="2" fillId="3" borderId="0" xfId="0" applyFont="1" applyFill="1" applyAlignment="1" applyProtection="1">
      <alignment horizontal="center" wrapText="1"/>
      <protection locked="0"/>
    </xf>
    <xf numFmtId="0" fontId="2" fillId="4" borderId="2" xfId="0" applyFont="1" applyFill="1" applyBorder="1" applyAlignment="1">
      <alignment horizontal="left" wrapText="1"/>
    </xf>
    <xf numFmtId="0" fontId="2" fillId="2" borderId="3" xfId="0" applyFont="1" applyFill="1" applyBorder="1" applyAlignment="1">
      <alignment wrapText="1"/>
    </xf>
    <xf numFmtId="164" fontId="3" fillId="0" borderId="0" xfId="1" applyNumberFormat="1" applyFont="1" applyAlignment="1">
      <alignment wrapText="1"/>
    </xf>
    <xf numFmtId="0" fontId="3" fillId="0" borderId="0" xfId="0" applyFont="1" applyAlignment="1">
      <alignment wrapText="1"/>
    </xf>
    <xf numFmtId="0" fontId="3" fillId="0" borderId="0" xfId="0" applyFont="1" applyAlignment="1">
      <alignment horizontal="left" wrapText="1"/>
    </xf>
    <xf numFmtId="0" fontId="4" fillId="0" borderId="0" xfId="0" applyFont="1"/>
    <xf numFmtId="0" fontId="2" fillId="5" borderId="4" xfId="0" applyFont="1" applyFill="1" applyBorder="1" applyAlignment="1">
      <alignment horizontal="center" wrapText="1"/>
    </xf>
    <xf numFmtId="0" fontId="2" fillId="2" borderId="5" xfId="0" applyFont="1" applyFill="1" applyBorder="1" applyAlignment="1">
      <alignment horizontal="center" wrapText="1"/>
    </xf>
    <xf numFmtId="0" fontId="3" fillId="5" borderId="6" xfId="0" applyFont="1" applyFill="1" applyBorder="1" applyAlignment="1">
      <alignment horizontal="center" wrapText="1"/>
    </xf>
    <xf numFmtId="0" fontId="2" fillId="4" borderId="7" xfId="0" applyFont="1" applyFill="1" applyBorder="1" applyAlignment="1">
      <alignment horizontal="left" wrapText="1"/>
    </xf>
    <xf numFmtId="0" fontId="2" fillId="4" borderId="2" xfId="0" applyFont="1" applyFill="1" applyBorder="1" applyAlignment="1">
      <alignment horizontal="center" wrapText="1"/>
    </xf>
    <xf numFmtId="0" fontId="2" fillId="2" borderId="2" xfId="0" applyFont="1" applyFill="1" applyBorder="1" applyAlignment="1">
      <alignment horizontal="center" wrapText="1"/>
    </xf>
    <xf numFmtId="0" fontId="2" fillId="4" borderId="3" xfId="0" applyFont="1" applyFill="1" applyBorder="1" applyAlignment="1">
      <alignment horizontal="left" wrapText="1"/>
    </xf>
    <xf numFmtId="0" fontId="2" fillId="6" borderId="3" xfId="0" applyFont="1" applyFill="1" applyBorder="1" applyAlignment="1">
      <alignment wrapText="1"/>
    </xf>
    <xf numFmtId="0" fontId="2" fillId="7" borderId="3" xfId="0" applyFont="1" applyFill="1" applyBorder="1" applyAlignment="1">
      <alignment wrapText="1"/>
    </xf>
    <xf numFmtId="0" fontId="2" fillId="8" borderId="3" xfId="0" applyFont="1" applyFill="1" applyBorder="1" applyAlignment="1">
      <alignment wrapText="1"/>
    </xf>
    <xf numFmtId="0" fontId="4" fillId="0" borderId="0" xfId="0" applyFont="1" applyAlignment="1">
      <alignment horizontal="center"/>
    </xf>
    <xf numFmtId="0" fontId="4" fillId="0" borderId="0" xfId="0" applyFont="1" applyAlignment="1">
      <alignment horizontal="left" wrapText="1"/>
    </xf>
    <xf numFmtId="0" fontId="4" fillId="0" borderId="0" xfId="0" applyFont="1" applyAlignment="1">
      <alignment wrapText="1"/>
    </xf>
    <xf numFmtId="0" fontId="4" fillId="0" borderId="8" xfId="0" applyFont="1" applyBorder="1" applyAlignment="1">
      <alignment horizontal="left"/>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xf numFmtId="0" fontId="6" fillId="0" borderId="0" xfId="0" applyFont="1" applyAlignment="1">
      <alignment vertical="top" wrapText="1"/>
    </xf>
    <xf numFmtId="0" fontId="6" fillId="0" borderId="24" xfId="0" applyFont="1" applyBorder="1"/>
    <xf numFmtId="0" fontId="5" fillId="0" borderId="0" xfId="0" applyFont="1" applyAlignment="1">
      <alignment vertical="top" wrapText="1"/>
    </xf>
    <xf numFmtId="0" fontId="7" fillId="5" borderId="0" xfId="0" applyFont="1" applyFill="1" applyAlignment="1">
      <alignment horizontal="center" vertical="center"/>
    </xf>
    <xf numFmtId="0" fontId="2" fillId="0" borderId="0" xfId="0" applyFont="1" applyAlignment="1">
      <alignment horizontal="center"/>
    </xf>
    <xf numFmtId="0" fontId="7" fillId="9" borderId="0" xfId="0"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2" fillId="0" borderId="0" xfId="0" applyFont="1"/>
    <xf numFmtId="0" fontId="3" fillId="4" borderId="0" xfId="0" applyFont="1" applyFill="1" applyAlignment="1">
      <alignment horizontal="center" vertical="center"/>
    </xf>
    <xf numFmtId="0" fontId="3" fillId="4" borderId="0" xfId="0" applyFont="1" applyFill="1"/>
    <xf numFmtId="0" fontId="3" fillId="0" borderId="0" xfId="0" applyFont="1"/>
    <xf numFmtId="0" fontId="2" fillId="4" borderId="0" xfId="0" applyFont="1" applyFill="1" applyAlignment="1">
      <alignment horizontal="right" vertical="center"/>
    </xf>
    <xf numFmtId="0" fontId="8" fillId="4" borderId="0" xfId="0" applyFont="1" applyFill="1" applyAlignment="1">
      <alignment horizontal="left" vertical="center"/>
    </xf>
    <xf numFmtId="0" fontId="8" fillId="4" borderId="0" xfId="0" applyFont="1" applyFill="1"/>
    <xf numFmtId="0" fontId="2" fillId="4" borderId="0" xfId="0" applyFont="1" applyFill="1"/>
    <xf numFmtId="0" fontId="5" fillId="0" borderId="0" xfId="0" applyFont="1" applyAlignment="1">
      <alignment wrapText="1"/>
    </xf>
    <xf numFmtId="0" fontId="5" fillId="0" borderId="0" xfId="0" applyFont="1"/>
    <xf numFmtId="0" fontId="7" fillId="0" borderId="0" xfId="0" applyFont="1" applyAlignment="1">
      <alignment horizontal="center" vertical="center"/>
    </xf>
    <xf numFmtId="0" fontId="2" fillId="0" borderId="0" xfId="0" applyFont="1" applyAlignment="1">
      <alignment horizontal="right" vertical="center"/>
    </xf>
    <xf numFmtId="0" fontId="8" fillId="0" borderId="0" xfId="0" applyFont="1" applyAlignment="1">
      <alignment horizontal="left" vertical="center"/>
    </xf>
    <xf numFmtId="0" fontId="8" fillId="0" borderId="0" xfId="0" applyFont="1"/>
    <xf numFmtId="0" fontId="6" fillId="0" borderId="0" xfId="0" applyFont="1" applyAlignment="1">
      <alignment vertical="center"/>
    </xf>
    <xf numFmtId="0" fontId="6" fillId="0" borderId="0" xfId="0" applyFont="1" applyAlignment="1">
      <alignment vertical="top"/>
    </xf>
    <xf numFmtId="0" fontId="6" fillId="0" borderId="15" xfId="0" applyFont="1" applyBorder="1" applyAlignment="1">
      <alignment vertical="top"/>
    </xf>
    <xf numFmtId="0" fontId="6" fillId="0" borderId="17" xfId="0" applyFont="1" applyBorder="1" applyAlignment="1">
      <alignment vertical="top"/>
    </xf>
    <xf numFmtId="0" fontId="6" fillId="0" borderId="22" xfId="0" applyFont="1" applyBorder="1" applyAlignment="1">
      <alignment vertical="top"/>
    </xf>
    <xf numFmtId="0" fontId="6" fillId="0" borderId="33" xfId="0" applyFont="1" applyBorder="1" applyAlignment="1">
      <alignment vertical="top"/>
    </xf>
    <xf numFmtId="0" fontId="6" fillId="0" borderId="33" xfId="0" applyFont="1" applyBorder="1" applyAlignment="1">
      <alignment vertical="center"/>
    </xf>
    <xf numFmtId="0" fontId="6" fillId="0" borderId="34" xfId="0" applyFont="1" applyBorder="1" applyAlignment="1">
      <alignment vertical="center"/>
    </xf>
    <xf numFmtId="0" fontId="10" fillId="0" borderId="0" xfId="0" applyFont="1" applyAlignment="1">
      <alignment horizontal="center" vertical="top" wrapText="1"/>
    </xf>
    <xf numFmtId="0" fontId="6" fillId="0" borderId="12" xfId="0" applyFont="1" applyBorder="1"/>
    <xf numFmtId="0" fontId="6" fillId="0" borderId="12" xfId="0" applyFont="1" applyBorder="1" applyAlignment="1">
      <alignment vertical="center" wrapText="1"/>
    </xf>
    <xf numFmtId="0" fontId="6" fillId="0" borderId="0" xfId="0" applyFont="1" applyAlignment="1">
      <alignment vertical="center" wrapText="1"/>
    </xf>
    <xf numFmtId="0" fontId="6" fillId="0" borderId="17"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xf>
    <xf numFmtId="9" fontId="6" fillId="0" borderId="18" xfId="2" applyFont="1" applyBorder="1" applyAlignment="1">
      <alignment horizontal="center" vertical="center" wrapText="1"/>
    </xf>
    <xf numFmtId="3" fontId="6" fillId="5" borderId="14" xfId="0" applyNumberFormat="1" applyFont="1" applyFill="1" applyBorder="1" applyAlignment="1" applyProtection="1">
      <alignment horizontal="center" vertical="center" wrapText="1"/>
      <protection locked="0"/>
    </xf>
    <xf numFmtId="3" fontId="6" fillId="5" borderId="19" xfId="0" applyNumberFormat="1" applyFont="1" applyFill="1" applyBorder="1" applyAlignment="1" applyProtection="1">
      <alignment horizontal="center" vertical="center" wrapText="1"/>
      <protection locked="0"/>
    </xf>
    <xf numFmtId="0" fontId="6" fillId="0" borderId="15" xfId="0" applyFont="1" applyBorder="1" applyAlignment="1">
      <alignment vertical="center" wrapText="1"/>
    </xf>
    <xf numFmtId="165" fontId="6" fillId="0" borderId="29" xfId="2" applyNumberFormat="1" applyFont="1" applyBorder="1" applyAlignment="1">
      <alignment horizontal="center"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40" xfId="0" applyFont="1" applyBorder="1"/>
    <xf numFmtId="0" fontId="6" fillId="0" borderId="20" xfId="0" applyFont="1" applyBorder="1" applyAlignment="1">
      <alignment vertical="center"/>
    </xf>
    <xf numFmtId="0" fontId="6" fillId="0" borderId="23" xfId="0" applyFont="1" applyBorder="1" applyAlignment="1">
      <alignment vertical="center" wrapText="1"/>
    </xf>
    <xf numFmtId="0" fontId="6" fillId="0" borderId="41" xfId="0" applyFont="1" applyBorder="1"/>
    <xf numFmtId="0" fontId="6" fillId="0" borderId="8" xfId="0" applyFont="1" applyBorder="1" applyAlignment="1">
      <alignment vertical="center" wrapText="1"/>
    </xf>
    <xf numFmtId="0" fontId="6" fillId="0" borderId="21" xfId="0" applyFont="1" applyBorder="1" applyAlignment="1">
      <alignment vertical="center" wrapText="1"/>
    </xf>
    <xf numFmtId="0" fontId="6" fillId="0" borderId="21" xfId="0" applyFont="1" applyBorder="1"/>
    <xf numFmtId="0" fontId="6" fillId="0" borderId="25" xfId="0" applyFont="1" applyBorder="1" applyAlignment="1">
      <alignment vertical="center"/>
    </xf>
    <xf numFmtId="9" fontId="6" fillId="0" borderId="18" xfId="2" applyFont="1" applyBorder="1" applyAlignment="1" applyProtection="1">
      <alignment horizontal="center" vertical="center" wrapText="1"/>
    </xf>
    <xf numFmtId="0" fontId="6" fillId="0" borderId="7" xfId="0" applyFont="1" applyBorder="1" applyAlignment="1">
      <alignment vertical="center"/>
    </xf>
    <xf numFmtId="0" fontId="6" fillId="0" borderId="22" xfId="0" applyFont="1" applyBorder="1" applyAlignment="1">
      <alignment vertical="center" wrapText="1"/>
    </xf>
    <xf numFmtId="0" fontId="6" fillId="0" borderId="8" xfId="0" applyFont="1" applyBorder="1" applyAlignment="1">
      <alignment vertical="center"/>
    </xf>
    <xf numFmtId="0" fontId="6" fillId="0" borderId="32" xfId="0" applyFont="1" applyBorder="1" applyAlignment="1">
      <alignment vertical="center"/>
    </xf>
    <xf numFmtId="0" fontId="6" fillId="0" borderId="42" xfId="0" applyFont="1" applyBorder="1" applyAlignment="1">
      <alignment vertical="center"/>
    </xf>
    <xf numFmtId="0" fontId="6" fillId="0" borderId="43" xfId="0" applyFont="1" applyBorder="1" applyAlignment="1">
      <alignment vertical="center"/>
    </xf>
    <xf numFmtId="0" fontId="14" fillId="10" borderId="19" xfId="0" applyFont="1" applyFill="1" applyBorder="1" applyAlignment="1">
      <alignment horizontal="center" vertical="center"/>
    </xf>
    <xf numFmtId="165" fontId="6" fillId="0" borderId="18" xfId="0" applyNumberFormat="1" applyFont="1" applyBorder="1" applyAlignment="1">
      <alignment horizontal="center" vertical="center"/>
    </xf>
    <xf numFmtId="0" fontId="11" fillId="0" borderId="37" xfId="0" applyFont="1" applyBorder="1" applyAlignment="1">
      <alignment horizontal="justify" vertical="center" wrapText="1"/>
    </xf>
    <xf numFmtId="0" fontId="11" fillId="0" borderId="37" xfId="0" applyFont="1" applyBorder="1" applyAlignment="1">
      <alignment wrapText="1"/>
    </xf>
    <xf numFmtId="0" fontId="11" fillId="0" borderId="0" xfId="0" applyFont="1" applyAlignment="1">
      <alignment wrapText="1"/>
    </xf>
    <xf numFmtId="0" fontId="11" fillId="0" borderId="37" xfId="0" applyFont="1" applyBorder="1" applyAlignment="1">
      <alignment horizontal="center" wrapText="1"/>
    </xf>
    <xf numFmtId="0" fontId="11" fillId="0" borderId="37" xfId="0" applyFont="1" applyBorder="1" applyAlignment="1">
      <alignment horizontal="center" vertical="center" wrapText="1"/>
    </xf>
    <xf numFmtId="0" fontId="15" fillId="0" borderId="0" xfId="0" applyFont="1" applyAlignment="1">
      <alignment wrapText="1"/>
    </xf>
    <xf numFmtId="0" fontId="6" fillId="9" borderId="14" xfId="0" applyFont="1" applyFill="1" applyBorder="1" applyAlignment="1" applyProtection="1">
      <alignment horizontal="center" vertical="center" wrapText="1"/>
      <protection locked="0"/>
    </xf>
    <xf numFmtId="3" fontId="6" fillId="5" borderId="16" xfId="0" applyNumberFormat="1" applyFont="1" applyFill="1" applyBorder="1" applyAlignment="1" applyProtection="1">
      <alignment horizontal="center" vertical="center"/>
      <protection locked="0"/>
    </xf>
    <xf numFmtId="0" fontId="6" fillId="0" borderId="41" xfId="0" applyFont="1" applyBorder="1" applyAlignment="1">
      <alignment vertical="top" wrapText="1"/>
    </xf>
    <xf numFmtId="0" fontId="10" fillId="0" borderId="46" xfId="0" applyFont="1" applyBorder="1" applyAlignment="1">
      <alignment vertical="top" wrapText="1"/>
    </xf>
    <xf numFmtId="0" fontId="10" fillId="0" borderId="44" xfId="0" applyFont="1" applyBorder="1" applyAlignment="1">
      <alignment vertical="top" wrapText="1"/>
    </xf>
    <xf numFmtId="0" fontId="6" fillId="0" borderId="11" xfId="0" applyFont="1" applyBorder="1" applyAlignment="1">
      <alignment vertical="top" wrapText="1"/>
    </xf>
    <xf numFmtId="0" fontId="10" fillId="0" borderId="0" xfId="0" applyFont="1" applyAlignment="1">
      <alignment horizontal="left" vertical="top" wrapText="1"/>
    </xf>
    <xf numFmtId="0" fontId="10" fillId="0" borderId="47" xfId="0" applyFont="1" applyBorder="1" applyAlignment="1">
      <alignment horizontal="left" vertical="top" wrapText="1"/>
    </xf>
    <xf numFmtId="0" fontId="6" fillId="0" borderId="48" xfId="0" applyFont="1" applyBorder="1" applyAlignment="1">
      <alignment vertical="top" wrapText="1"/>
    </xf>
    <xf numFmtId="0" fontId="6" fillId="0" borderId="47" xfId="0" applyFont="1" applyBorder="1" applyAlignment="1">
      <alignment vertical="top" wrapText="1"/>
    </xf>
    <xf numFmtId="0" fontId="6" fillId="0" borderId="23" xfId="0" applyFont="1" applyBorder="1" applyAlignment="1">
      <alignment vertical="top" wrapText="1"/>
    </xf>
    <xf numFmtId="3" fontId="6" fillId="5" borderId="14" xfId="0" applyNumberFormat="1" applyFont="1" applyFill="1" applyBorder="1" applyAlignment="1" applyProtection="1">
      <alignment horizontal="center" vertical="center"/>
      <protection locked="0"/>
    </xf>
    <xf numFmtId="0" fontId="6" fillId="0" borderId="31" xfId="0" applyFont="1" applyBorder="1" applyAlignment="1">
      <alignment vertical="center" wrapText="1"/>
    </xf>
    <xf numFmtId="0" fontId="6" fillId="0" borderId="50" xfId="0" applyFont="1" applyBorder="1" applyAlignment="1">
      <alignment vertical="center" wrapText="1"/>
    </xf>
    <xf numFmtId="0" fontId="6" fillId="0" borderId="51" xfId="0" applyFont="1" applyBorder="1" applyAlignment="1">
      <alignment vertical="center" wrapText="1"/>
    </xf>
    <xf numFmtId="0" fontId="10" fillId="0" borderId="7" xfId="0" applyFont="1" applyBorder="1" applyAlignment="1">
      <alignment vertical="center"/>
    </xf>
    <xf numFmtId="3" fontId="6" fillId="0" borderId="16" xfId="0" applyNumberFormat="1" applyFont="1" applyBorder="1" applyAlignment="1" applyProtection="1">
      <alignment horizontal="center" vertical="center"/>
      <protection locked="0"/>
    </xf>
    <xf numFmtId="0" fontId="6" fillId="0" borderId="16" xfId="0" applyFont="1" applyBorder="1" applyAlignment="1">
      <alignment horizontal="center" vertical="center"/>
    </xf>
    <xf numFmtId="0" fontId="0" fillId="0" borderId="0" xfId="0" applyAlignment="1">
      <alignment vertical="center"/>
    </xf>
    <xf numFmtId="0" fontId="10" fillId="0" borderId="25" xfId="0" applyFont="1" applyBorder="1" applyAlignment="1">
      <alignment vertical="center"/>
    </xf>
    <xf numFmtId="3" fontId="6" fillId="0" borderId="19" xfId="0" applyNumberFormat="1" applyFont="1" applyBorder="1" applyAlignment="1" applyProtection="1">
      <alignment horizontal="center" vertical="center"/>
      <protection locked="0"/>
    </xf>
    <xf numFmtId="0" fontId="6" fillId="0" borderId="2" xfId="0" applyFont="1" applyBorder="1" applyAlignment="1">
      <alignment vertical="center"/>
    </xf>
    <xf numFmtId="0" fontId="6" fillId="0" borderId="28" xfId="0" applyFont="1" applyBorder="1" applyAlignment="1">
      <alignment vertical="center"/>
    </xf>
    <xf numFmtId="0" fontId="14" fillId="10" borderId="16" xfId="0" applyFont="1" applyFill="1" applyBorder="1" applyAlignment="1">
      <alignment horizontal="center" vertical="center"/>
    </xf>
    <xf numFmtId="0" fontId="17" fillId="0" borderId="16" xfId="0" applyFont="1" applyBorder="1" applyAlignment="1">
      <alignment horizontal="center" vertical="center"/>
    </xf>
    <xf numFmtId="165" fontId="6" fillId="0" borderId="3" xfId="0" applyNumberFormat="1" applyFont="1" applyBorder="1" applyAlignment="1">
      <alignment horizontal="center" vertical="center"/>
    </xf>
    <xf numFmtId="165" fontId="6" fillId="5" borderId="19" xfId="0" applyNumberFormat="1" applyFont="1" applyFill="1" applyBorder="1" applyAlignment="1" applyProtection="1">
      <alignment horizontal="center" vertical="center"/>
      <protection locked="0"/>
    </xf>
    <xf numFmtId="0" fontId="17" fillId="0" borderId="19"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9" xfId="0" applyFont="1" applyBorder="1" applyAlignment="1">
      <alignment horizontal="center" vertical="center"/>
    </xf>
    <xf numFmtId="0" fontId="10" fillId="0" borderId="0" xfId="0" applyFont="1"/>
    <xf numFmtId="0" fontId="5" fillId="0" borderId="43" xfId="0" applyFont="1" applyBorder="1" applyAlignment="1">
      <alignment horizontal="left"/>
    </xf>
    <xf numFmtId="0" fontId="10" fillId="5" borderId="13" xfId="0" applyFont="1" applyFill="1" applyBorder="1" applyAlignment="1" applyProtection="1">
      <alignment horizontal="center" vertical="center"/>
      <protection locked="0"/>
    </xf>
    <xf numFmtId="0" fontId="6" fillId="0" borderId="12" xfId="0" applyFont="1" applyBorder="1" applyAlignment="1">
      <alignment horizontal="left" vertical="center"/>
    </xf>
    <xf numFmtId="0" fontId="10" fillId="5" borderId="14" xfId="0" applyFont="1" applyFill="1" applyBorder="1" applyAlignment="1" applyProtection="1">
      <alignment horizontal="center" vertical="center"/>
      <protection locked="0"/>
    </xf>
    <xf numFmtId="3" fontId="6" fillId="0" borderId="43"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6" fillId="0" borderId="15" xfId="0" applyFont="1" applyBorder="1" applyAlignment="1">
      <alignment horizontal="left" vertical="center" wrapText="1"/>
    </xf>
    <xf numFmtId="0" fontId="6" fillId="0" borderId="17" xfId="0" applyFont="1" applyBorder="1" applyAlignment="1">
      <alignment horizontal="left" vertical="center"/>
    </xf>
    <xf numFmtId="3" fontId="6" fillId="0" borderId="18" xfId="2" applyNumberFormat="1" applyFont="1" applyBorder="1" applyAlignment="1">
      <alignment horizontal="center" vertical="center" wrapText="1"/>
    </xf>
    <xf numFmtId="3" fontId="6" fillId="0" borderId="2" xfId="2" applyNumberFormat="1" applyFont="1" applyBorder="1" applyAlignment="1">
      <alignment horizontal="center" vertical="center" wrapText="1"/>
    </xf>
    <xf numFmtId="0" fontId="17" fillId="0" borderId="28" xfId="0" applyFont="1" applyBorder="1" applyAlignment="1">
      <alignment horizontal="center" vertical="center" wrapText="1"/>
    </xf>
    <xf numFmtId="0" fontId="6" fillId="0" borderId="8" xfId="0" applyFont="1" applyBorder="1"/>
    <xf numFmtId="0" fontId="5" fillId="0" borderId="29" xfId="0" applyFont="1" applyBorder="1" applyAlignment="1">
      <alignment horizontal="center"/>
    </xf>
    <xf numFmtId="0" fontId="6" fillId="0" borderId="17" xfId="0" applyFont="1" applyBorder="1" applyAlignment="1">
      <alignment horizontal="left" vertical="center" wrapText="1"/>
    </xf>
    <xf numFmtId="0" fontId="18" fillId="0" borderId="3"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4" fillId="0" borderId="9" xfId="0" applyFont="1" applyBorder="1"/>
    <xf numFmtId="0" fontId="4" fillId="0" borderId="9" xfId="0" applyFont="1" applyBorder="1" applyAlignment="1">
      <alignment horizontal="center"/>
    </xf>
    <xf numFmtId="0" fontId="5" fillId="0" borderId="9" xfId="0" applyFont="1" applyBorder="1" applyAlignment="1">
      <alignment vertical="center"/>
    </xf>
    <xf numFmtId="0" fontId="18" fillId="0" borderId="18"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3" fontId="6" fillId="5" borderId="10" xfId="0" applyNumberFormat="1" applyFont="1" applyFill="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6" fillId="0" borderId="52" xfId="0" applyFont="1" applyBorder="1" applyAlignment="1">
      <alignment horizontal="left" vertical="center" wrapText="1"/>
    </xf>
    <xf numFmtId="0" fontId="6" fillId="0" borderId="9" xfId="0" applyFont="1" applyBorder="1" applyAlignment="1">
      <alignmen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32" xfId="0" applyFont="1" applyBorder="1" applyAlignment="1">
      <alignment horizontal="left" vertical="center" wrapText="1"/>
    </xf>
    <xf numFmtId="0" fontId="6" fillId="0" borderId="9" xfId="0" applyFont="1" applyBorder="1"/>
    <xf numFmtId="0" fontId="6" fillId="0" borderId="35" xfId="0" applyFont="1" applyBorder="1" applyAlignment="1">
      <alignment vertical="center" wrapText="1"/>
    </xf>
    <xf numFmtId="0" fontId="4" fillId="0" borderId="43" xfId="0" applyFont="1" applyBorder="1"/>
    <xf numFmtId="0" fontId="10" fillId="0" borderId="9" xfId="0" applyFont="1" applyBorder="1" applyAlignment="1">
      <alignment horizontal="center" vertical="center"/>
    </xf>
    <xf numFmtId="0" fontId="17" fillId="0" borderId="9" xfId="0" applyFont="1" applyBorder="1" applyAlignment="1">
      <alignment horizontal="left"/>
    </xf>
    <xf numFmtId="0" fontId="6" fillId="0" borderId="33" xfId="0" applyFont="1" applyBorder="1" applyAlignment="1">
      <alignment horizontal="left" vertical="center"/>
    </xf>
    <xf numFmtId="0" fontId="5" fillId="0" borderId="9" xfId="0" applyFont="1" applyBorder="1" applyAlignment="1">
      <alignment horizontal="left" vertical="center" wrapText="1"/>
    </xf>
    <xf numFmtId="2" fontId="6" fillId="0" borderId="0" xfId="0" applyNumberFormat="1" applyFont="1" applyAlignment="1">
      <alignment vertical="center" wrapText="1"/>
    </xf>
    <xf numFmtId="165" fontId="6" fillId="0" borderId="55" xfId="0" applyNumberFormat="1" applyFont="1" applyBorder="1" applyAlignment="1">
      <alignment horizontal="center" vertical="center"/>
    </xf>
    <xf numFmtId="0" fontId="6" fillId="0" borderId="20" xfId="0" applyFont="1" applyBorder="1" applyAlignment="1">
      <alignmen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6" fillId="9" borderId="28" xfId="0" applyFont="1" applyFill="1" applyBorder="1" applyAlignment="1" applyProtection="1">
      <alignment horizontal="center" vertical="center" wrapText="1"/>
      <protection locked="0"/>
    </xf>
    <xf numFmtId="0" fontId="6" fillId="9" borderId="16" xfId="0" applyFont="1" applyFill="1" applyBorder="1" applyAlignment="1" applyProtection="1">
      <alignment horizontal="center" vertical="center" wrapText="1"/>
      <protection locked="0"/>
    </xf>
    <xf numFmtId="0" fontId="5" fillId="0" borderId="32" xfId="0" applyFont="1" applyBorder="1" applyAlignment="1">
      <alignment vertical="center" wrapText="1"/>
    </xf>
    <xf numFmtId="0" fontId="6" fillId="0" borderId="7" xfId="0" applyFont="1" applyBorder="1" applyAlignment="1">
      <alignment vertical="center" wrapText="1"/>
    </xf>
    <xf numFmtId="0" fontId="5" fillId="0" borderId="31" xfId="0" applyFont="1" applyBorder="1" applyAlignment="1">
      <alignment vertical="center"/>
    </xf>
    <xf numFmtId="0" fontId="5" fillId="0" borderId="22" xfId="0" applyFont="1" applyBorder="1" applyAlignment="1">
      <alignment vertical="center"/>
    </xf>
    <xf numFmtId="0" fontId="5" fillId="0" borderId="13" xfId="0" applyFont="1" applyBorder="1" applyAlignment="1">
      <alignment horizontal="center" wrapText="1"/>
    </xf>
    <xf numFmtId="0" fontId="5" fillId="0" borderId="14" xfId="0" applyFont="1" applyBorder="1" applyAlignment="1">
      <alignment horizontal="center" wrapText="1"/>
    </xf>
    <xf numFmtId="0" fontId="5" fillId="0" borderId="38" xfId="0" applyFont="1" applyBorder="1" applyAlignment="1">
      <alignment horizontal="center" wrapText="1"/>
    </xf>
    <xf numFmtId="0" fontId="5" fillId="0" borderId="39" xfId="0" applyFont="1" applyBorder="1" applyAlignment="1">
      <alignment horizontal="center" wrapText="1"/>
    </xf>
    <xf numFmtId="0" fontId="6" fillId="0" borderId="21" xfId="0" applyFont="1" applyBorder="1" applyAlignment="1">
      <alignment wrapText="1"/>
    </xf>
    <xf numFmtId="0" fontId="6" fillId="0" borderId="24" xfId="0" applyFont="1" applyBorder="1" applyAlignment="1">
      <alignment wrapText="1"/>
    </xf>
    <xf numFmtId="0" fontId="5" fillId="0" borderId="53" xfId="0" applyFont="1" applyBorder="1" applyAlignment="1">
      <alignment horizontal="center" vertical="center" wrapText="1"/>
    </xf>
    <xf numFmtId="0" fontId="5" fillId="0" borderId="20" xfId="0" applyFont="1" applyBorder="1" applyAlignment="1">
      <alignment horizontal="center" vertical="center" wrapText="1"/>
    </xf>
    <xf numFmtId="3" fontId="6" fillId="0" borderId="0" xfId="0" applyNumberFormat="1" applyFont="1" applyAlignment="1">
      <alignment horizontal="center" vertical="center" wrapText="1"/>
    </xf>
    <xf numFmtId="9" fontId="6" fillId="0" borderId="25" xfId="2" applyFont="1" applyBorder="1" applyAlignment="1">
      <alignment horizontal="center" vertical="center" wrapText="1"/>
    </xf>
    <xf numFmtId="165" fontId="6" fillId="0" borderId="20" xfId="2" applyNumberFormat="1" applyFont="1" applyBorder="1" applyAlignment="1">
      <alignment horizontal="center" vertical="center" wrapText="1"/>
    </xf>
    <xf numFmtId="9" fontId="6" fillId="0" borderId="25" xfId="2" applyFont="1" applyBorder="1" applyAlignment="1" applyProtection="1">
      <alignment horizontal="center" vertical="center" wrapText="1"/>
    </xf>
    <xf numFmtId="9" fontId="20" fillId="0" borderId="27" xfId="2" applyFont="1" applyBorder="1" applyAlignment="1" applyProtection="1">
      <alignment horizontal="center" vertical="center" wrapText="1"/>
    </xf>
    <xf numFmtId="165" fontId="6" fillId="0" borderId="7" xfId="0" applyNumberFormat="1" applyFont="1" applyBorder="1" applyAlignment="1">
      <alignment horizontal="center" vertical="center"/>
    </xf>
    <xf numFmtId="165" fontId="6" fillId="0" borderId="25" xfId="0" applyNumberFormat="1" applyFont="1" applyBorder="1" applyAlignment="1">
      <alignment horizontal="center" vertical="center"/>
    </xf>
    <xf numFmtId="0" fontId="6" fillId="0" borderId="56" xfId="0" applyFont="1" applyBorder="1" applyAlignment="1">
      <alignment vertical="center"/>
    </xf>
    <xf numFmtId="165" fontId="6" fillId="0" borderId="26" xfId="0" applyNumberFormat="1" applyFont="1" applyBorder="1" applyAlignment="1">
      <alignment horizontal="center" vertical="center"/>
    </xf>
    <xf numFmtId="165" fontId="6" fillId="0" borderId="27" xfId="0" applyNumberFormat="1" applyFont="1" applyBorder="1" applyAlignment="1">
      <alignment horizontal="center" vertical="center"/>
    </xf>
    <xf numFmtId="165" fontId="6" fillId="0" borderId="53" xfId="2" applyNumberFormat="1" applyFont="1" applyBorder="1" applyAlignment="1">
      <alignment horizontal="center" vertical="center" wrapText="1"/>
    </xf>
    <xf numFmtId="9" fontId="6" fillId="0" borderId="27" xfId="2" applyFont="1" applyBorder="1" applyAlignment="1">
      <alignment horizontal="right" vertical="center" wrapText="1"/>
    </xf>
    <xf numFmtId="165" fontId="6" fillId="0" borderId="54" xfId="0" applyNumberFormat="1" applyFont="1" applyBorder="1" applyAlignment="1">
      <alignment horizontal="right" vertical="center"/>
    </xf>
    <xf numFmtId="9" fontId="6" fillId="0" borderId="27" xfId="2" applyFont="1" applyBorder="1" applyAlignment="1">
      <alignment horizontal="center" vertical="center" wrapText="1"/>
    </xf>
    <xf numFmtId="0" fontId="5" fillId="0" borderId="30" xfId="0" applyFont="1" applyBorder="1" applyAlignment="1">
      <alignment horizontal="center" wrapText="1"/>
    </xf>
    <xf numFmtId="3" fontId="6" fillId="5" borderId="30" xfId="0" applyNumberFormat="1" applyFont="1" applyFill="1" applyBorder="1" applyAlignment="1" applyProtection="1">
      <alignment horizontal="center" vertical="center"/>
      <protection locked="0"/>
    </xf>
    <xf numFmtId="0" fontId="4" fillId="11" borderId="0" xfId="0" applyFont="1" applyFill="1"/>
    <xf numFmtId="0" fontId="21" fillId="0" borderId="0" xfId="0" applyFont="1" applyAlignment="1">
      <alignment wrapText="1"/>
    </xf>
    <xf numFmtId="0" fontId="22" fillId="0" borderId="37" xfId="0" applyFont="1" applyBorder="1" applyAlignment="1">
      <alignment wrapText="1"/>
    </xf>
    <xf numFmtId="0" fontId="11" fillId="0" borderId="37" xfId="0" applyFont="1" applyBorder="1" applyAlignment="1">
      <alignment horizontal="right" wrapText="1"/>
    </xf>
    <xf numFmtId="9" fontId="11" fillId="0" borderId="37" xfId="0" applyNumberFormat="1" applyFont="1" applyBorder="1" applyAlignment="1">
      <alignment wrapText="1"/>
    </xf>
    <xf numFmtId="9" fontId="6" fillId="0" borderId="0" xfId="2" applyFont="1" applyAlignment="1">
      <alignment vertical="center"/>
    </xf>
    <xf numFmtId="0" fontId="23" fillId="0" borderId="31" xfId="0" applyFont="1" applyBorder="1" applyAlignment="1">
      <alignment vertical="center"/>
    </xf>
    <xf numFmtId="0" fontId="23" fillId="0" borderId="32" xfId="0" applyFont="1" applyBorder="1" applyAlignment="1">
      <alignment vertical="center"/>
    </xf>
    <xf numFmtId="0" fontId="23" fillId="0" borderId="2" xfId="0" applyFont="1" applyBorder="1" applyAlignment="1">
      <alignment horizontal="center" vertical="center"/>
    </xf>
    <xf numFmtId="0" fontId="23" fillId="0" borderId="56" xfId="0" applyFont="1" applyBorder="1" applyAlignment="1">
      <alignment horizontal="center" vertical="center"/>
    </xf>
    <xf numFmtId="166" fontId="23" fillId="0" borderId="24" xfId="0" applyNumberFormat="1" applyFont="1" applyBorder="1" applyAlignment="1">
      <alignment horizontal="center" vertical="center"/>
    </xf>
    <xf numFmtId="0" fontId="24" fillId="0" borderId="16" xfId="0" applyFont="1" applyBorder="1" applyAlignment="1">
      <alignment horizontal="center" vertical="center"/>
    </xf>
    <xf numFmtId="0" fontId="23" fillId="0" borderId="57" xfId="0" applyFont="1" applyBorder="1" applyAlignment="1">
      <alignment horizontal="center" vertical="center"/>
    </xf>
    <xf numFmtId="166" fontId="23" fillId="0" borderId="32" xfId="0" applyNumberFormat="1" applyFont="1" applyBorder="1" applyAlignment="1">
      <alignment horizontal="center" vertical="center"/>
    </xf>
    <xf numFmtId="0" fontId="6" fillId="9" borderId="56" xfId="0" applyFont="1" applyFill="1" applyBorder="1" applyAlignment="1" applyProtection="1">
      <alignment horizontal="center" vertical="center" wrapText="1"/>
      <protection locked="0"/>
    </xf>
    <xf numFmtId="0" fontId="6" fillId="9" borderId="26" xfId="0" applyFont="1" applyFill="1" applyBorder="1" applyAlignment="1" applyProtection="1">
      <alignment horizontal="center" vertical="center" wrapText="1"/>
      <protection locked="0"/>
    </xf>
    <xf numFmtId="3" fontId="6" fillId="5" borderId="19" xfId="0" applyNumberFormat="1" applyFont="1" applyFill="1" applyBorder="1" applyAlignment="1" applyProtection="1">
      <alignment horizontal="center" vertical="center"/>
      <protection locked="0"/>
    </xf>
    <xf numFmtId="0" fontId="5" fillId="0" borderId="9" xfId="0" applyFont="1" applyBorder="1" applyAlignment="1">
      <alignment horizontal="left" vertical="center" wrapText="1"/>
    </xf>
    <xf numFmtId="0" fontId="5" fillId="0" borderId="9" xfId="0" applyFont="1" applyBorder="1" applyAlignment="1">
      <alignment horizontal="right" vertical="center" wrapText="1"/>
    </xf>
    <xf numFmtId="0" fontId="5" fillId="0" borderId="10" xfId="0" applyFont="1" applyBorder="1" applyAlignment="1">
      <alignment horizontal="right" vertical="center" wrapText="1"/>
    </xf>
    <xf numFmtId="0" fontId="16" fillId="0" borderId="0" xfId="0" applyFont="1" applyAlignment="1">
      <alignment vertical="center" wrapText="1"/>
    </xf>
    <xf numFmtId="0" fontId="5" fillId="0" borderId="5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56" xfId="0" applyFont="1" applyBorder="1" applyAlignment="1">
      <alignment horizontal="center" wrapText="1"/>
    </xf>
    <xf numFmtId="0" fontId="5" fillId="0" borderId="24" xfId="0" applyFont="1" applyBorder="1" applyAlignment="1">
      <alignment horizontal="center" wrapText="1"/>
    </xf>
    <xf numFmtId="0" fontId="6" fillId="0" borderId="21" xfId="0" applyFont="1" applyBorder="1" applyAlignment="1">
      <alignment vertical="center" wrapText="1"/>
    </xf>
    <xf numFmtId="0" fontId="6" fillId="0" borderId="24" xfId="0" applyFont="1" applyBorder="1" applyAlignment="1">
      <alignment vertical="center" wrapText="1"/>
    </xf>
    <xf numFmtId="0" fontId="5" fillId="0" borderId="53" xfId="0" applyFont="1" applyBorder="1" applyAlignment="1">
      <alignment horizontal="center" wrapText="1"/>
    </xf>
    <xf numFmtId="0" fontId="5" fillId="0" borderId="20" xfId="0" applyFont="1" applyBorder="1" applyAlignment="1">
      <alignment horizontal="center" wrapText="1"/>
    </xf>
    <xf numFmtId="0" fontId="6" fillId="0" borderId="0" xfId="0" applyFont="1" applyAlignment="1">
      <alignment vertical="top" wrapText="1"/>
    </xf>
    <xf numFmtId="0" fontId="6" fillId="0" borderId="46" xfId="0" applyFont="1" applyBorder="1" applyAlignment="1">
      <alignment horizontal="center" vertical="center"/>
    </xf>
    <xf numFmtId="0" fontId="6" fillId="0" borderId="44" xfId="0" applyFont="1" applyBorder="1" applyAlignment="1">
      <alignment horizontal="center" vertical="center"/>
    </xf>
    <xf numFmtId="0" fontId="6" fillId="0" borderId="43" xfId="0" applyFont="1" applyBorder="1" applyAlignment="1">
      <alignment horizontal="center" vertical="center"/>
    </xf>
    <xf numFmtId="0" fontId="6" fillId="0" borderId="58" xfId="0" applyFont="1" applyBorder="1" applyAlignment="1">
      <alignment horizontal="center" vertical="center"/>
    </xf>
    <xf numFmtId="0" fontId="6" fillId="0" borderId="22" xfId="0" applyFont="1" applyBorder="1" applyAlignment="1">
      <alignment vertical="center" wrapText="1"/>
    </xf>
    <xf numFmtId="0" fontId="6" fillId="0" borderId="7" xfId="0" applyFont="1" applyBorder="1" applyAlignment="1">
      <alignment vertical="center" wrapText="1"/>
    </xf>
    <xf numFmtId="0" fontId="10" fillId="9" borderId="13" xfId="0" applyFont="1" applyFill="1" applyBorder="1" applyAlignment="1" applyProtection="1">
      <alignment horizontal="left" vertical="center" wrapText="1"/>
      <protection locked="0"/>
    </xf>
    <xf numFmtId="0" fontId="10" fillId="9" borderId="14" xfId="0" applyFont="1" applyFill="1" applyBorder="1" applyAlignment="1" applyProtection="1">
      <alignment horizontal="left" vertical="center" wrapText="1"/>
      <protection locked="0"/>
    </xf>
    <xf numFmtId="0" fontId="10" fillId="9" borderId="3" xfId="0" applyFont="1" applyFill="1" applyBorder="1" applyAlignment="1" applyProtection="1">
      <alignment horizontal="left" vertical="center" wrapText="1"/>
      <protection locked="0"/>
    </xf>
    <xf numFmtId="0" fontId="10" fillId="9" borderId="16" xfId="0" applyFont="1" applyFill="1" applyBorder="1" applyAlignment="1" applyProtection="1">
      <alignment horizontal="left" vertical="center" wrapText="1"/>
      <protection locked="0"/>
    </xf>
    <xf numFmtId="0" fontId="6" fillId="5" borderId="27" xfId="0" applyFont="1" applyFill="1" applyBorder="1" applyAlignment="1" applyProtection="1">
      <alignment vertical="top" wrapText="1"/>
      <protection locked="0"/>
    </xf>
    <xf numFmtId="0" fontId="6" fillId="5" borderId="35" xfId="0" applyFont="1" applyFill="1" applyBorder="1" applyAlignment="1" applyProtection="1">
      <alignment vertical="top" wrapText="1"/>
      <protection locked="0"/>
    </xf>
    <xf numFmtId="0" fontId="6" fillId="5" borderId="36" xfId="0" applyFont="1" applyFill="1" applyBorder="1" applyAlignment="1" applyProtection="1">
      <alignment vertical="top" wrapText="1"/>
      <protection locked="0"/>
    </xf>
    <xf numFmtId="0" fontId="6" fillId="5" borderId="26" xfId="0" applyFont="1" applyFill="1" applyBorder="1" applyAlignment="1" applyProtection="1">
      <alignment vertical="top" wrapText="1"/>
      <protection locked="0"/>
    </xf>
    <xf numFmtId="0" fontId="6" fillId="5" borderId="33" xfId="0" applyFont="1" applyFill="1" applyBorder="1" applyAlignment="1" applyProtection="1">
      <alignment vertical="top" wrapText="1"/>
      <protection locked="0"/>
    </xf>
    <xf numFmtId="0" fontId="6" fillId="5" borderId="34" xfId="0" applyFont="1" applyFill="1" applyBorder="1" applyAlignment="1" applyProtection="1">
      <alignment vertical="top" wrapText="1"/>
      <protection locked="0"/>
    </xf>
    <xf numFmtId="0" fontId="6" fillId="5" borderId="45" xfId="0" applyFont="1" applyFill="1" applyBorder="1" applyAlignment="1" applyProtection="1">
      <alignment vertical="top" wrapText="1"/>
      <protection locked="0"/>
    </xf>
    <xf numFmtId="0" fontId="6" fillId="5" borderId="49" xfId="0" applyFont="1" applyFill="1" applyBorder="1" applyAlignment="1" applyProtection="1">
      <alignment vertical="top" wrapText="1"/>
      <protection locked="0"/>
    </xf>
    <xf numFmtId="0" fontId="10" fillId="9" borderId="46" xfId="0" applyFont="1" applyFill="1" applyBorder="1" applyAlignment="1" applyProtection="1">
      <alignment vertical="top" wrapText="1"/>
      <protection locked="0"/>
    </xf>
    <xf numFmtId="0" fontId="11" fillId="0" borderId="37" xfId="0" applyFont="1" applyBorder="1" applyAlignment="1">
      <alignment horizontal="center" wrapText="1"/>
    </xf>
  </cellXfs>
  <cellStyles count="3">
    <cellStyle name="Komma" xfId="1" builtinId="3"/>
    <cellStyle name="Prozent" xfId="2" builtinId="5"/>
    <cellStyle name="Standard" xfId="0" builtinId="0"/>
  </cellStyles>
  <dxfs count="19">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color theme="1"/>
      </font>
      <fill>
        <patternFill>
          <fgColor rgb="FFEEFFDD"/>
          <bgColor rgb="FFEEFFDD"/>
        </patternFill>
      </fill>
    </dxf>
    <dxf>
      <font>
        <b/>
        <i val="0"/>
        <color rgb="FF00B050"/>
      </font>
      <fill>
        <patternFill>
          <bgColor rgb="FF8CF866"/>
        </patternFill>
      </fill>
    </dxf>
    <dxf>
      <font>
        <color rgb="FFFF0000"/>
      </font>
      <fill>
        <patternFill>
          <bgColor rgb="FFFFB7B7"/>
        </patternFill>
      </fill>
    </dxf>
    <dxf>
      <fill>
        <patternFill>
          <bgColor theme="0"/>
        </patternFill>
      </fill>
    </dxf>
    <dxf>
      <fill>
        <patternFill>
          <bgColor theme="0"/>
        </patternFill>
      </fill>
    </dxf>
    <dxf>
      <font>
        <b/>
        <i val="0"/>
        <color rgb="FF00B050"/>
      </font>
      <fill>
        <patternFill>
          <bgColor rgb="FF8CF866"/>
        </patternFill>
      </fill>
    </dxf>
    <dxf>
      <font>
        <color rgb="FFFF0000"/>
      </font>
      <fill>
        <patternFill>
          <bgColor rgb="FFFFB7B7"/>
        </patternFill>
      </fill>
    </dxf>
    <dxf>
      <fill>
        <patternFill>
          <bgColor rgb="FFFFFF00"/>
        </patternFill>
      </fill>
    </dxf>
    <dxf>
      <fill>
        <patternFill>
          <bgColor rgb="FFFFFF00"/>
        </patternFill>
      </fill>
    </dxf>
  </dxfs>
  <tableStyles count="0" defaultTableStyle="TableStyleMedium2" defaultPivotStyle="PivotStyleLight16"/>
  <colors>
    <mruColors>
      <color rgb="FFF727BC"/>
      <color rgb="FFEEFFDD"/>
      <color rgb="FFFFFFFF"/>
      <color rgb="FFFFB7B7"/>
      <color rgb="FF00B050"/>
      <color rgb="FF8CF8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208272</xdr:colOff>
      <xdr:row>0</xdr:row>
      <xdr:rowOff>38099</xdr:rowOff>
    </xdr:from>
    <xdr:to>
      <xdr:col>1</xdr:col>
      <xdr:colOff>2557500</xdr:colOff>
      <xdr:row>0</xdr:row>
      <xdr:rowOff>558074</xdr:rowOff>
    </xdr:to>
    <xdr:pic>
      <xdr:nvPicPr>
        <xdr:cNvPr id="2" name="Grafik 1">
          <a:extLst>
            <a:ext uri="{FF2B5EF4-FFF2-40B4-BE49-F238E27FC236}">
              <a16:creationId xmlns:a16="http://schemas.microsoft.com/office/drawing/2014/main" id="{8035A927-902D-4729-B8FC-D41E8C3AB81C}"/>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t="27781"/>
        <a:stretch>
          <a:fillRect/>
        </a:stretch>
      </xdr:blipFill>
      <xdr:spPr>
        <a:xfrm>
          <a:off x="351147" y="38099"/>
          <a:ext cx="2349228" cy="519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0</xdr:row>
      <xdr:rowOff>9525</xdr:rowOff>
    </xdr:from>
    <xdr:to>
      <xdr:col>1</xdr:col>
      <xdr:colOff>2444478</xdr:colOff>
      <xdr:row>0</xdr:row>
      <xdr:rowOff>529500</xdr:rowOff>
    </xdr:to>
    <xdr:pic>
      <xdr:nvPicPr>
        <xdr:cNvPr id="2" name="Grafik 1">
          <a:extLst>
            <a:ext uri="{FF2B5EF4-FFF2-40B4-BE49-F238E27FC236}">
              <a16:creationId xmlns:a16="http://schemas.microsoft.com/office/drawing/2014/main" id="{051CC547-5988-4065-A137-0E8750C7BE0D}"/>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t="27781"/>
        <a:stretch>
          <a:fillRect/>
        </a:stretch>
      </xdr:blipFill>
      <xdr:spPr>
        <a:xfrm>
          <a:off x="409575" y="9525"/>
          <a:ext cx="2349228" cy="519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247782</xdr:colOff>
      <xdr:row>0</xdr:row>
      <xdr:rowOff>38100</xdr:rowOff>
    </xdr:from>
    <xdr:to>
      <xdr:col>1</xdr:col>
      <xdr:colOff>2597010</xdr:colOff>
      <xdr:row>0</xdr:row>
      <xdr:rowOff>558075</xdr:rowOff>
    </xdr:to>
    <xdr:pic>
      <xdr:nvPicPr>
        <xdr:cNvPr id="2" name="Grafik 1">
          <a:extLst>
            <a:ext uri="{FF2B5EF4-FFF2-40B4-BE49-F238E27FC236}">
              <a16:creationId xmlns:a16="http://schemas.microsoft.com/office/drawing/2014/main" id="{5A0E5E2E-4AE0-415F-B7AB-B1AA01044437}"/>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t="27781"/>
        <a:stretch>
          <a:fillRect/>
        </a:stretch>
      </xdr:blipFill>
      <xdr:spPr>
        <a:xfrm>
          <a:off x="390657" y="38100"/>
          <a:ext cx="2349228" cy="519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228600</xdr:colOff>
      <xdr:row>0</xdr:row>
      <xdr:rowOff>19050</xdr:rowOff>
    </xdr:from>
    <xdr:to>
      <xdr:col>2</xdr:col>
      <xdr:colOff>72753</xdr:colOff>
      <xdr:row>0</xdr:row>
      <xdr:rowOff>539025</xdr:rowOff>
    </xdr:to>
    <xdr:pic>
      <xdr:nvPicPr>
        <xdr:cNvPr id="2" name="Grafik 1">
          <a:extLst>
            <a:ext uri="{FF2B5EF4-FFF2-40B4-BE49-F238E27FC236}">
              <a16:creationId xmlns:a16="http://schemas.microsoft.com/office/drawing/2014/main" id="{65243005-244F-489A-B8EB-9D1863F3DA87}"/>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t="27781"/>
        <a:stretch>
          <a:fillRect/>
        </a:stretch>
      </xdr:blipFill>
      <xdr:spPr>
        <a:xfrm>
          <a:off x="371475" y="19050"/>
          <a:ext cx="2349228" cy="519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180975</xdr:colOff>
      <xdr:row>0</xdr:row>
      <xdr:rowOff>9525</xdr:rowOff>
    </xdr:from>
    <xdr:to>
      <xdr:col>1</xdr:col>
      <xdr:colOff>2530203</xdr:colOff>
      <xdr:row>0</xdr:row>
      <xdr:rowOff>529500</xdr:rowOff>
    </xdr:to>
    <xdr:pic>
      <xdr:nvPicPr>
        <xdr:cNvPr id="2" name="Grafik 1">
          <a:extLst>
            <a:ext uri="{FF2B5EF4-FFF2-40B4-BE49-F238E27FC236}">
              <a16:creationId xmlns:a16="http://schemas.microsoft.com/office/drawing/2014/main" id="{72AD88C0-B34B-4AE4-ABB4-796A3D357F93}"/>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t="27781"/>
        <a:stretch>
          <a:fillRect/>
        </a:stretch>
      </xdr:blipFill>
      <xdr:spPr>
        <a:xfrm>
          <a:off x="323850" y="9525"/>
          <a:ext cx="2349228" cy="519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238125</xdr:colOff>
      <xdr:row>0</xdr:row>
      <xdr:rowOff>0</xdr:rowOff>
    </xdr:from>
    <xdr:to>
      <xdr:col>1</xdr:col>
      <xdr:colOff>2587353</xdr:colOff>
      <xdr:row>0</xdr:row>
      <xdr:rowOff>519975</xdr:rowOff>
    </xdr:to>
    <xdr:pic>
      <xdr:nvPicPr>
        <xdr:cNvPr id="2" name="Grafik 1">
          <a:extLst>
            <a:ext uri="{FF2B5EF4-FFF2-40B4-BE49-F238E27FC236}">
              <a16:creationId xmlns:a16="http://schemas.microsoft.com/office/drawing/2014/main" id="{3258B1E0-61C3-4CB4-995E-FF237F327590}"/>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t="27781"/>
        <a:stretch>
          <a:fillRect/>
        </a:stretch>
      </xdr:blipFill>
      <xdr:spPr>
        <a:xfrm>
          <a:off x="381000" y="0"/>
          <a:ext cx="2349228" cy="519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180975</xdr:colOff>
      <xdr:row>0</xdr:row>
      <xdr:rowOff>0</xdr:rowOff>
    </xdr:from>
    <xdr:to>
      <xdr:col>1</xdr:col>
      <xdr:colOff>2530203</xdr:colOff>
      <xdr:row>0</xdr:row>
      <xdr:rowOff>519975</xdr:rowOff>
    </xdr:to>
    <xdr:pic>
      <xdr:nvPicPr>
        <xdr:cNvPr id="2" name="Grafik 1">
          <a:extLst>
            <a:ext uri="{FF2B5EF4-FFF2-40B4-BE49-F238E27FC236}">
              <a16:creationId xmlns:a16="http://schemas.microsoft.com/office/drawing/2014/main" id="{81340863-0E64-4C40-A012-F986995752DC}"/>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t="27781"/>
        <a:stretch>
          <a:fillRect/>
        </a:stretch>
      </xdr:blipFill>
      <xdr:spPr>
        <a:xfrm>
          <a:off x="323850" y="0"/>
          <a:ext cx="2349228" cy="519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285750</xdr:colOff>
      <xdr:row>0</xdr:row>
      <xdr:rowOff>9525</xdr:rowOff>
    </xdr:from>
    <xdr:to>
      <xdr:col>1</xdr:col>
      <xdr:colOff>2634978</xdr:colOff>
      <xdr:row>0</xdr:row>
      <xdr:rowOff>529500</xdr:rowOff>
    </xdr:to>
    <xdr:pic>
      <xdr:nvPicPr>
        <xdr:cNvPr id="2" name="Grafik 1">
          <a:extLst>
            <a:ext uri="{FF2B5EF4-FFF2-40B4-BE49-F238E27FC236}">
              <a16:creationId xmlns:a16="http://schemas.microsoft.com/office/drawing/2014/main" id="{2B18410D-C0EA-4E38-829C-1C2572420DAB}"/>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t="27781"/>
        <a:stretch>
          <a:fillRect/>
        </a:stretch>
      </xdr:blipFill>
      <xdr:spPr>
        <a:xfrm>
          <a:off x="600075" y="9525"/>
          <a:ext cx="2349228" cy="519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266700</xdr:colOff>
      <xdr:row>0</xdr:row>
      <xdr:rowOff>9525</xdr:rowOff>
    </xdr:from>
    <xdr:to>
      <xdr:col>1</xdr:col>
      <xdr:colOff>2615928</xdr:colOff>
      <xdr:row>0</xdr:row>
      <xdr:rowOff>529500</xdr:rowOff>
    </xdr:to>
    <xdr:pic>
      <xdr:nvPicPr>
        <xdr:cNvPr id="2" name="Grafik 1">
          <a:extLst>
            <a:ext uri="{FF2B5EF4-FFF2-40B4-BE49-F238E27FC236}">
              <a16:creationId xmlns:a16="http://schemas.microsoft.com/office/drawing/2014/main" id="{DC291245-C58E-4457-B9CF-A70755719B6F}"/>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t="27781"/>
        <a:stretch>
          <a:fillRect/>
        </a:stretch>
      </xdr:blipFill>
      <xdr:spPr>
        <a:xfrm>
          <a:off x="581025" y="9525"/>
          <a:ext cx="2349228" cy="519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266700</xdr:colOff>
      <xdr:row>0</xdr:row>
      <xdr:rowOff>9525</xdr:rowOff>
    </xdr:from>
    <xdr:to>
      <xdr:col>1</xdr:col>
      <xdr:colOff>2615928</xdr:colOff>
      <xdr:row>0</xdr:row>
      <xdr:rowOff>529500</xdr:rowOff>
    </xdr:to>
    <xdr:pic>
      <xdr:nvPicPr>
        <xdr:cNvPr id="2" name="Grafik 1">
          <a:extLst>
            <a:ext uri="{FF2B5EF4-FFF2-40B4-BE49-F238E27FC236}">
              <a16:creationId xmlns:a16="http://schemas.microsoft.com/office/drawing/2014/main" id="{C78FD4FF-840E-4AE7-893C-CCE3F0FA9A16}"/>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t="27781"/>
        <a:stretch>
          <a:fillRect/>
        </a:stretch>
      </xdr:blipFill>
      <xdr:spPr>
        <a:xfrm>
          <a:off x="409575" y="9525"/>
          <a:ext cx="2349228" cy="519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st239701.sharepoint.com/sites/Files/01Daten/06_Entwicklung+Projekte/02_Minergie-Areal/01_Minergie-Areal/04_Standardentwicklung/42_TOOLS_RECHENHILFEN/Hilfstool_Pflichtvorgaben_A_und_C_Version_2023.1.xlsx" TargetMode="External"/><Relationship Id="rId1" Type="http://schemas.openxmlformats.org/officeDocument/2006/relationships/externalLinkPath" Target="https://mst239701.sharepoint.com/sites/Files/01Daten/03_Zertifizierung/01_Dokumente/05_Minergie-Areal/04_Hilfstools_Vorlagen/01_G&#252;ltig/Hilfstool_Pflichtvorgaben_A_und_C_Version_202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leitung"/>
      <sheetName val="Gebäudeliste"/>
      <sheetName val="Uebersicht"/>
      <sheetName val="Listen"/>
      <sheetName val="Uebersetzung"/>
    </sheetNames>
    <sheetDataSet>
      <sheetData sheetId="0" refreshError="1"/>
      <sheetData sheetId="1" refreshError="1"/>
      <sheetData sheetId="2" refreshError="1"/>
      <sheetData sheetId="3">
        <row r="2">
          <cell r="B2" t="str">
            <v>Wohnen MFH</v>
          </cell>
        </row>
        <row r="3">
          <cell r="B3" t="str">
            <v>Wohnen EFH</v>
          </cell>
        </row>
        <row r="4">
          <cell r="B4" t="str">
            <v>Verwaltung</v>
          </cell>
        </row>
        <row r="5">
          <cell r="B5" t="str">
            <v xml:space="preserve">Schulen </v>
          </cell>
        </row>
        <row r="6">
          <cell r="B6" t="str">
            <v>Verkauf</v>
          </cell>
        </row>
        <row r="7">
          <cell r="B7" t="str">
            <v>Restaurant</v>
          </cell>
        </row>
        <row r="8">
          <cell r="B8" t="str">
            <v>Versammlung</v>
          </cell>
        </row>
        <row r="9">
          <cell r="B9" t="str">
            <v>Spitäler</v>
          </cell>
        </row>
        <row r="10">
          <cell r="B10" t="str">
            <v>Industrie</v>
          </cell>
        </row>
        <row r="11">
          <cell r="B11" t="str">
            <v>Lager</v>
          </cell>
        </row>
        <row r="12">
          <cell r="B12" t="str">
            <v>Sportbauten</v>
          </cell>
        </row>
        <row r="13">
          <cell r="B13" t="str">
            <v>Hallenbäder</v>
          </cell>
        </row>
        <row r="24">
          <cell r="B24" t="str">
            <v>Neubau nach Minergie</v>
          </cell>
        </row>
        <row r="25">
          <cell r="B25" t="str">
            <v>Ersatzneubau nach Minergie</v>
          </cell>
        </row>
        <row r="26">
          <cell r="B26" t="str">
            <v>Erneuerung nach Minergie</v>
          </cell>
        </row>
        <row r="27">
          <cell r="B27" t="str">
            <v>Systemerneuerung nach Minergie</v>
          </cell>
        </row>
        <row r="28">
          <cell r="B28" t="str">
            <v>Bestandesbau mit Ausnahmereg.</v>
          </cell>
        </row>
      </sheetData>
      <sheetData sheetId="4"/>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93E99-2AEB-430F-86AA-9A92BC1063F9}">
  <sheetPr codeName="Tabelle1"/>
  <dimension ref="B1:AI27"/>
  <sheetViews>
    <sheetView showGridLines="0" tabSelected="1" zoomScaleNormal="100" zoomScalePageLayoutView="70" workbookViewId="0">
      <selection activeCell="D15" sqref="D15"/>
    </sheetView>
  </sheetViews>
  <sheetFormatPr baseColWidth="10" defaultColWidth="11.453125" defaultRowHeight="14" x14ac:dyDescent="0.3"/>
  <cols>
    <col min="1" max="1" width="2.1796875" style="29" customWidth="1"/>
    <col min="2" max="2" width="53" style="29" customWidth="1"/>
    <col min="3" max="3" width="19.7265625" style="29" bestFit="1" customWidth="1"/>
    <col min="4" max="4" width="28" style="29" customWidth="1"/>
    <col min="5" max="5" width="4.7265625" style="29" customWidth="1"/>
    <col min="6" max="6" width="17.54296875" style="29" customWidth="1"/>
    <col min="7" max="7" width="16.81640625" style="29" customWidth="1"/>
    <col min="8" max="16384" width="11.453125" style="29"/>
  </cols>
  <sheetData>
    <row r="1" spans="2:35" s="9" customFormat="1" ht="54" customHeight="1" x14ac:dyDescent="0.25">
      <c r="B1" s="23"/>
      <c r="C1" s="219" t="str">
        <f>Uebersetzungen!D24</f>
        <v>B1.4 Sicherstellung einer hohen Nutzungsdichte</v>
      </c>
      <c r="D1" s="219"/>
      <c r="E1" s="166"/>
      <c r="F1" s="220" t="str">
        <f>Uebersetzungen!$D$11&amp;" "&amp;Uebersetzungen!$D$82&amp;" "&amp;Uebersetzungen!$C$2&amp;"."&amp;Uebersetzungen!$A$2</f>
        <v>Hilfstool Wahlvorgaben Version 2025.1</v>
      </c>
      <c r="G1" s="22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Eingabe</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Auswahlfeld</v>
      </c>
    </row>
    <row r="6" spans="2:35" x14ac:dyDescent="0.3">
      <c r="B6" s="32"/>
    </row>
    <row r="7" spans="2:35" s="30" customFormat="1" ht="24.75" customHeight="1" x14ac:dyDescent="0.3">
      <c r="B7" s="46" t="str">
        <f>Uebersetzungen!D78</f>
        <v>Angaben zur Nutzungsdichte</v>
      </c>
      <c r="E7" s="29"/>
    </row>
    <row r="8" spans="2:35" s="63" customFormat="1" ht="28" customHeight="1" x14ac:dyDescent="0.3">
      <c r="B8" s="79" t="str">
        <f>Uebersetzungen!D71</f>
        <v>EBF total</v>
      </c>
      <c r="C8" s="157" t="s">
        <v>141</v>
      </c>
      <c r="D8" s="108"/>
      <c r="E8" s="29"/>
    </row>
    <row r="9" spans="2:35" s="63" customFormat="1" ht="28" customHeight="1" x14ac:dyDescent="0.3">
      <c r="B9" s="109"/>
      <c r="C9" s="110"/>
      <c r="D9" s="111"/>
      <c r="E9" s="29"/>
    </row>
    <row r="10" spans="2:35" s="52" customFormat="1" ht="28" customHeight="1" x14ac:dyDescent="0.3">
      <c r="B10" s="109" t="str">
        <f>Uebersetzungen!D67</f>
        <v>Flächenmässig grösste Gebäudekategorie</v>
      </c>
      <c r="C10" s="86"/>
      <c r="D10" s="172"/>
      <c r="E10" s="29"/>
      <c r="F10" s="222" t="str">
        <f>IFERROR(IF(D11/D8&gt;=80%,Uebersetzungen!D23,""),"")</f>
        <v/>
      </c>
      <c r="G10" s="222"/>
    </row>
    <row r="11" spans="2:35" s="52" customFormat="1" ht="28" customHeight="1" x14ac:dyDescent="0.3">
      <c r="B11" s="84" t="str">
        <f>Uebersetzungen!D68</f>
        <v>EBF total der grössten Gebäudekategorie</v>
      </c>
      <c r="C11" s="165" t="s">
        <v>141</v>
      </c>
      <c r="D11" s="98"/>
      <c r="E11" s="29"/>
      <c r="F11" s="222"/>
      <c r="G11" s="222"/>
    </row>
    <row r="12" spans="2:35" s="52" customFormat="1" ht="28" customHeight="1" x14ac:dyDescent="0.3">
      <c r="B12" s="84" t="str">
        <f>IFERROR(VLOOKUP(D10,Listen!$B$14:$F$19,3,),"")</f>
        <v/>
      </c>
      <c r="C12" s="83" t="str">
        <f>IF(D10=Listen!$B$16,Uebersetzungen!$D$63,"")</f>
        <v/>
      </c>
      <c r="D12" s="98"/>
      <c r="E12" s="29"/>
      <c r="F12" s="222"/>
      <c r="G12" s="222"/>
    </row>
    <row r="13" spans="2:35" s="52" customFormat="1" ht="28" customHeight="1" x14ac:dyDescent="0.3">
      <c r="B13" s="84" t="str">
        <f>IF(D10=Listen!B$16,Listen!F$16,"")</f>
        <v/>
      </c>
      <c r="C13" s="112" t="str">
        <f>IF(D10=Listen!B$16,Uebersetzungen!$D$63,"")</f>
        <v/>
      </c>
      <c r="D13" s="113"/>
      <c r="E13" s="29"/>
      <c r="F13" s="222"/>
      <c r="G13" s="222"/>
    </row>
    <row r="14" spans="2:35" s="52" customFormat="1" ht="28" customHeight="1" x14ac:dyDescent="0.3">
      <c r="B14" s="84"/>
      <c r="C14" s="83"/>
      <c r="D14" s="114"/>
      <c r="E14" s="29"/>
      <c r="G14" s="115"/>
    </row>
    <row r="15" spans="2:35" s="52" customFormat="1" ht="28" customHeight="1" x14ac:dyDescent="0.3">
      <c r="B15" s="84" t="str">
        <f>Uebersetzungen!D69</f>
        <v>Flächenmässig zweitgrösste Gebäudekategorie</v>
      </c>
      <c r="C15" s="83"/>
      <c r="D15" s="173"/>
      <c r="E15" s="29"/>
    </row>
    <row r="16" spans="2:35" s="52" customFormat="1" ht="28" customHeight="1" x14ac:dyDescent="0.3">
      <c r="B16" s="84" t="str">
        <f>Uebersetzungen!D70</f>
        <v>EBF total der zweitgrössten Gebäudekategorie</v>
      </c>
      <c r="C16" s="165" t="s">
        <v>141</v>
      </c>
      <c r="D16" s="98"/>
      <c r="E16" s="29"/>
    </row>
    <row r="17" spans="2:7" s="52" customFormat="1" ht="28" customHeight="1" x14ac:dyDescent="0.3">
      <c r="B17" s="84" t="str">
        <f>IFERROR(VLOOKUP(D15,Listen!$B$14:$F$19,3,),"")</f>
        <v/>
      </c>
      <c r="C17" s="83" t="str">
        <f>IF(D15=Listen!$B$16,Uebersetzungen!$D$63,"")</f>
        <v/>
      </c>
      <c r="D17" s="98"/>
      <c r="E17" s="29"/>
    </row>
    <row r="18" spans="2:7" s="52" customFormat="1" ht="28" customHeight="1" x14ac:dyDescent="0.3">
      <c r="B18" s="76" t="str">
        <f>IF(D15=Listen!B$16,Listen!F$16,"")</f>
        <v/>
      </c>
      <c r="C18" s="116" t="str">
        <f>IF(D15=Listen!B$16,Uebersetzungen!$D$63,"")</f>
        <v/>
      </c>
      <c r="D18" s="117"/>
      <c r="E18" s="29"/>
    </row>
    <row r="19" spans="2:7" ht="15.4" customHeight="1" x14ac:dyDescent="0.3"/>
    <row r="20" spans="2:7" ht="15.4" customHeight="1" x14ac:dyDescent="0.3">
      <c r="B20" s="47" t="str">
        <f>Uebersetzungen!D79</f>
        <v>Resultate</v>
      </c>
    </row>
    <row r="21" spans="2:7" s="63" customFormat="1" ht="28" customHeight="1" x14ac:dyDescent="0.35">
      <c r="B21" s="78"/>
      <c r="C21" s="169"/>
      <c r="D21" s="170" t="str">
        <f>Uebersetzungen!$D$106</f>
        <v>Projektwert</v>
      </c>
      <c r="E21" s="223" t="str">
        <f>Uebersetzungen!$D$107</f>
        <v>Vorgabe</v>
      </c>
      <c r="F21" s="224"/>
      <c r="G21" s="171" t="str">
        <f>Uebersetzungen!$D$108</f>
        <v>Erfüllt?</v>
      </c>
    </row>
    <row r="22" spans="2:7" s="52" customFormat="1" ht="28" customHeight="1" x14ac:dyDescent="0.35">
      <c r="B22" s="176" t="str">
        <f>B10</f>
        <v>Flächenmässig grösste Gebäudekategorie</v>
      </c>
      <c r="C22" s="174"/>
      <c r="D22" s="118"/>
      <c r="E22" s="193"/>
      <c r="F22" s="86"/>
      <c r="G22" s="119"/>
    </row>
    <row r="23" spans="2:7" s="52" customFormat="1" ht="28" customHeight="1" x14ac:dyDescent="0.35">
      <c r="B23" s="84" t="str">
        <f>IF(ISBLANK(D10),"",D10)</f>
        <v/>
      </c>
      <c r="C23" s="175" t="str">
        <f>IF(ISBLANK(D10),"",C11&amp;"/"&amp;B12)</f>
        <v/>
      </c>
      <c r="D23" s="122" t="str">
        <f>IFERROR($D$11/D12,"-")</f>
        <v>-</v>
      </c>
      <c r="E23" s="194" t="s">
        <v>144</v>
      </c>
      <c r="F23" s="191" t="str">
        <f>IF(ISBLANK(D10),"-",VLOOKUP(D10,Listen!$B$14:$F$19,2,0))</f>
        <v>-</v>
      </c>
      <c r="G23" s="121" t="str">
        <f>IF(ISBLANK(D10),"-",IF(D23&lt;=F23,Uebersetzungen!$D$64,Uebersetzungen!$D$65))</f>
        <v>-</v>
      </c>
    </row>
    <row r="24" spans="2:7" s="52" customFormat="1" ht="28" customHeight="1" x14ac:dyDescent="0.35">
      <c r="B24" s="84"/>
      <c r="C24" s="175" t="str">
        <f>IF('B1.4'!D10=Listen!$B$16,C11&amp;"/"&amp;'B1.4'!B13,"")</f>
        <v/>
      </c>
      <c r="D24" s="122" t="str">
        <f>IF(D10=Listen!$B$16,IFERROR($D$11/D13,"-"),"")</f>
        <v/>
      </c>
      <c r="E24" s="194" t="str">
        <f>IF(D24="","","≤")</f>
        <v/>
      </c>
      <c r="F24" s="191" t="str">
        <f>IF(D10=Listen!$B$16,VLOOKUP(D10,Listen!$B$14:$F$19,4,0),"")</f>
        <v/>
      </c>
      <c r="G24" s="120" t="str">
        <f>IF(D10=Listen!$B$16,IF(D24&lt;=F24,Uebersetzungen!$D$64,Uebersetzungen!$D$65),"")</f>
        <v/>
      </c>
    </row>
    <row r="25" spans="2:7" s="52" customFormat="1" ht="28" customHeight="1" x14ac:dyDescent="0.35">
      <c r="B25" s="177" t="str">
        <f>B15</f>
        <v>Flächenmässig zweitgrösste Gebäudekategorie</v>
      </c>
      <c r="C25" s="175"/>
      <c r="D25" s="122"/>
      <c r="E25" s="194"/>
      <c r="F25" s="191"/>
      <c r="G25" s="114"/>
    </row>
    <row r="26" spans="2:7" s="52" customFormat="1" ht="28" customHeight="1" x14ac:dyDescent="0.35">
      <c r="B26" s="84" t="str">
        <f>IF(ISBLANK(D15),"",D15)</f>
        <v/>
      </c>
      <c r="C26" s="175" t="str">
        <f>IF(ISBLANK(D15),"",C16&amp;"/"&amp;B17)</f>
        <v/>
      </c>
      <c r="D26" s="122" t="str">
        <f>IFERROR($D$16/D17,"-")</f>
        <v>-</v>
      </c>
      <c r="E26" s="194" t="s">
        <v>144</v>
      </c>
      <c r="F26" s="191" t="str">
        <f>IF(ISBLANK(D15),"-",VLOOKUP(D15,Listen!$B$14:$F$19,2,0))</f>
        <v>-</v>
      </c>
      <c r="G26" s="121" t="str">
        <f>IF(ISBLANK(D15),"-",IF(D26&lt;=F26,Uebersetzungen!$D$64,Uebersetzungen!$D$65))</f>
        <v>-</v>
      </c>
    </row>
    <row r="27" spans="2:7" s="52" customFormat="1" ht="28" customHeight="1" x14ac:dyDescent="0.35">
      <c r="B27" s="76"/>
      <c r="C27" s="73" t="str">
        <f>IF('B1.4'!D15=Listen!$B$16,C16&amp;"/"&amp;'B1.4'!B18,"")</f>
        <v/>
      </c>
      <c r="D27" s="90" t="str">
        <f>IF(D15=Listen!$B$16,IFERROR($D$16/D18,"-"),"")</f>
        <v/>
      </c>
      <c r="E27" s="195" t="str">
        <f>IF(D27="","","≤")</f>
        <v/>
      </c>
      <c r="F27" s="192" t="str">
        <f>IF(D15=Listen!$B$16,VLOOKUP(D15,Listen!$B$14:$F$19,4,0),"")</f>
        <v/>
      </c>
      <c r="G27" s="89" t="str">
        <f>IF(D15=Listen!$B$16,IF(D27&lt;=F27,Uebersetzungen!$D$64,Uebersetzungen!$D$65),"")</f>
        <v/>
      </c>
    </row>
  </sheetData>
  <sheetProtection algorithmName="SHA-512" hashValue="zjkqgtkGqIKYSUwF40eJ4Erqmg8NST2vSNX0QwRuZWQL2rAm24eJbTqGt/GqxvHZDNpcC46PQNQEWM9wBkfrXg==" saltValue="ok+FBYc8BGaBdz5tG4xp4A==" spinCount="100000" sheet="1" objects="1" scenarios="1" selectLockedCells="1"/>
  <mergeCells count="4">
    <mergeCell ref="C1:D1"/>
    <mergeCell ref="F1:G1"/>
    <mergeCell ref="F10:G13"/>
    <mergeCell ref="E21:F21"/>
  </mergeCells>
  <dataValidations count="1">
    <dataValidation type="list" allowBlank="1" showInputMessage="1" showErrorMessage="1" sqref="D15 D10" xr:uid="{AE1709B0-B5D6-4514-98BC-089EF1169CF9}">
      <formula1>LSTB14</formula1>
    </dataValidation>
  </dataValidations>
  <pageMargins left="0.7" right="0.7" top="0.78740157499999996" bottom="0.78740157499999996" header="0.3" footer="0.3"/>
  <pageSetup scale="72" orientation="portrait" r:id="rId1"/>
  <colBreaks count="1" manualBreakCount="1">
    <brk id="7"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 id="{3463C168-18B5-443A-A35D-672203799945}">
            <xm:f>IF($D$10=Listen!$B$16,1,0)</xm:f>
            <x14:dxf>
              <fill>
                <patternFill>
                  <bgColor rgb="FFFFFF00"/>
                </patternFill>
              </fill>
            </x14:dxf>
          </x14:cfRule>
          <xm:sqref>D13</xm:sqref>
        </x14:conditionalFormatting>
        <x14:conditionalFormatting xmlns:xm="http://schemas.microsoft.com/office/excel/2006/main">
          <x14:cfRule type="expression" priority="6" id="{3835E1C0-922F-4979-86C1-1BBDEB80B824}">
            <xm:f>IF($D$15=Listen!$B$16,1,0)</xm:f>
            <x14:dxf>
              <fill>
                <patternFill>
                  <bgColor rgb="FFFFFF00"/>
                </patternFill>
              </fill>
            </x14:dxf>
          </x14:cfRule>
          <xm:sqref>D18</xm:sqref>
        </x14:conditionalFormatting>
        <x14:conditionalFormatting xmlns:xm="http://schemas.microsoft.com/office/excel/2006/main">
          <x14:cfRule type="cellIs" priority="1" operator="equal" id="{954794AE-D7AC-422C-9A2A-52339E248724}">
            <xm:f>Uebersetzungen!$D$65</xm:f>
            <x14:dxf>
              <font>
                <color rgb="FFFF0000"/>
              </font>
              <fill>
                <patternFill>
                  <bgColor rgb="FFFFB7B7"/>
                </patternFill>
              </fill>
            </x14:dxf>
          </x14:cfRule>
          <x14:cfRule type="cellIs" priority="4" operator="equal" id="{E3E40667-459B-40BA-884A-5B939EB825A8}">
            <xm:f>Uebersetzungen!$D$64</xm:f>
            <x14:dxf>
              <font>
                <b/>
                <i val="0"/>
                <color rgb="FF00B050"/>
              </font>
              <fill>
                <patternFill>
                  <bgColor rgb="FF8CF866"/>
                </patternFill>
              </fill>
            </x14:dxf>
          </x14:cfRule>
          <xm:sqref>G23:G24 G26:G27</xm:sqref>
        </x14:conditionalFormatting>
        <x14:conditionalFormatting xmlns:xm="http://schemas.microsoft.com/office/excel/2006/main">
          <x14:cfRule type="expression" priority="3" id="{C97A7C08-961C-40D8-BB2A-BCA5CD248E89}">
            <xm:f>IF($D$10&lt;&gt;Listen!$B$16,1,0)</xm:f>
            <x14:dxf>
              <fill>
                <patternFill>
                  <bgColor theme="0"/>
                </patternFill>
              </fill>
            </x14:dxf>
          </x14:cfRule>
          <xm:sqref>G24</xm:sqref>
        </x14:conditionalFormatting>
        <x14:conditionalFormatting xmlns:xm="http://schemas.microsoft.com/office/excel/2006/main">
          <x14:cfRule type="expression" priority="2" id="{93E983B2-B87B-45EB-9D41-E1D69DD60D9E}">
            <xm:f>IF($D$15&lt;&gt;Listen!$B$16,1,0)</xm:f>
            <x14:dxf>
              <fill>
                <patternFill>
                  <bgColor theme="0"/>
                </patternFill>
              </fill>
            </x14:dxf>
          </x14:cfRule>
          <xm:sqref>G27</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F15C-538D-47C9-B1B6-C5406BCEBA4B}">
  <sheetPr codeName="Tabelle9"/>
  <dimension ref="B1:AH19"/>
  <sheetViews>
    <sheetView showGridLines="0" zoomScaleNormal="100" zoomScalePageLayoutView="70" workbookViewId="0">
      <selection activeCell="C14" sqref="C14:F14"/>
    </sheetView>
  </sheetViews>
  <sheetFormatPr baseColWidth="10" defaultColWidth="11.453125" defaultRowHeight="14" x14ac:dyDescent="0.3"/>
  <cols>
    <col min="1" max="1" width="4.7265625" style="29" customWidth="1"/>
    <col min="2" max="2" width="37.54296875" style="29" customWidth="1"/>
    <col min="3" max="3" width="19.7265625" style="29" bestFit="1" customWidth="1"/>
    <col min="4" max="4" width="38" style="29" customWidth="1"/>
    <col min="5" max="5" width="14.81640625" style="29" customWidth="1"/>
    <col min="6" max="6" width="10" style="29" customWidth="1"/>
    <col min="7" max="16384" width="11.453125" style="29"/>
  </cols>
  <sheetData>
    <row r="1" spans="2:34" s="9" customFormat="1" ht="54" customHeight="1" x14ac:dyDescent="0.25">
      <c r="B1" s="23"/>
      <c r="C1" s="219" t="str">
        <f>Uebersetzungen!D46</f>
        <v>B1.6, C2.5, D1.7 und E2.7 (Joker Wahlvorgaben)</v>
      </c>
      <c r="D1" s="219"/>
      <c r="E1" s="220" t="str">
        <f>Uebersetzungen!$D$11&amp;" "&amp;Uebersetzungen!$D$82&amp;" "&amp;Uebersetzungen!$C$2&amp;"."&amp;Uebersetzungen!$A$2</f>
        <v>Hilfstool Wahlvorgaben Version 2025.1</v>
      </c>
      <c r="F1" s="221"/>
      <c r="G1" s="20"/>
      <c r="H1" s="20"/>
      <c r="I1" s="20"/>
      <c r="J1" s="20"/>
      <c r="K1" s="20"/>
      <c r="L1" s="20"/>
      <c r="M1" s="20"/>
      <c r="N1" s="20"/>
      <c r="O1" s="20"/>
      <c r="P1" s="20"/>
      <c r="Q1" s="20"/>
      <c r="R1" s="20"/>
      <c r="S1" s="20"/>
      <c r="T1" s="20"/>
      <c r="U1" s="20"/>
      <c r="V1" s="20"/>
      <c r="W1" s="20"/>
      <c r="X1" s="24"/>
      <c r="Y1" s="25"/>
    </row>
    <row r="2" spans="2:34" s="9" customFormat="1" ht="16.149999999999999" customHeight="1" x14ac:dyDescent="0.25">
      <c r="B2" s="26"/>
      <c r="C2" s="27"/>
      <c r="D2" s="27"/>
      <c r="E2" s="28"/>
      <c r="F2" s="28"/>
      <c r="G2" s="20"/>
      <c r="H2" s="20"/>
      <c r="I2" s="20"/>
      <c r="J2" s="20"/>
      <c r="K2" s="20"/>
      <c r="L2" s="20"/>
      <c r="M2" s="20"/>
      <c r="N2" s="20"/>
      <c r="O2" s="20"/>
      <c r="P2" s="20"/>
      <c r="Q2" s="20"/>
      <c r="R2" s="20"/>
      <c r="S2" s="20"/>
      <c r="T2" s="20"/>
      <c r="U2" s="20"/>
      <c r="V2" s="20"/>
      <c r="W2" s="20"/>
      <c r="X2" s="24"/>
      <c r="Y2" s="25"/>
    </row>
    <row r="3" spans="2:34" s="45" customFormat="1" ht="15" customHeight="1" x14ac:dyDescent="0.3">
      <c r="B3" s="33" t="str">
        <f>Uebersetzungen!D15</f>
        <v>Eingabe</v>
      </c>
      <c r="D3" s="34"/>
      <c r="F3" s="29"/>
      <c r="G3" s="36"/>
      <c r="H3" s="37"/>
      <c r="I3" s="38"/>
      <c r="J3" s="36"/>
      <c r="K3" s="39"/>
      <c r="L3" s="39"/>
      <c r="M3" s="39"/>
      <c r="N3" s="39"/>
      <c r="O3" s="39"/>
      <c r="P3" s="39"/>
      <c r="Q3" s="39"/>
      <c r="R3" s="39"/>
      <c r="S3" s="39"/>
      <c r="T3" s="39"/>
      <c r="U3" s="39"/>
      <c r="V3" s="40"/>
      <c r="W3" s="41"/>
      <c r="X3" s="42"/>
      <c r="Y3" s="43"/>
      <c r="Z3" s="44"/>
      <c r="AA3" s="44"/>
      <c r="AB3" s="44"/>
      <c r="AC3" s="44"/>
      <c r="AD3" s="44"/>
      <c r="AE3" s="44"/>
      <c r="AF3" s="44"/>
      <c r="AG3" s="44"/>
      <c r="AH3" s="44"/>
    </row>
    <row r="4" spans="2:34" s="38" customFormat="1" ht="6" customHeight="1" x14ac:dyDescent="0.3">
      <c r="B4" s="48"/>
      <c r="D4" s="34"/>
      <c r="E4" s="48"/>
      <c r="F4" s="29"/>
      <c r="G4" s="36"/>
      <c r="H4" s="37"/>
      <c r="J4" s="36"/>
      <c r="K4" s="37"/>
      <c r="L4" s="37"/>
      <c r="M4" s="37"/>
      <c r="N4" s="37"/>
      <c r="O4" s="37"/>
      <c r="P4" s="37"/>
      <c r="Q4" s="37"/>
      <c r="R4" s="37"/>
      <c r="S4" s="37"/>
      <c r="T4" s="37"/>
      <c r="U4" s="37"/>
      <c r="V4" s="41"/>
      <c r="W4" s="41"/>
      <c r="X4" s="49"/>
      <c r="Y4" s="50"/>
      <c r="Z4" s="51"/>
      <c r="AA4" s="51"/>
      <c r="AB4" s="51"/>
      <c r="AC4" s="51"/>
      <c r="AD4" s="51"/>
      <c r="AE4" s="51"/>
      <c r="AF4" s="51"/>
      <c r="AG4" s="51"/>
      <c r="AH4" s="51"/>
    </row>
    <row r="5" spans="2:34" ht="15" customHeight="1" x14ac:dyDescent="0.3">
      <c r="B5" s="35" t="str">
        <f>Uebersetzungen!D20</f>
        <v>Auswahlfeld</v>
      </c>
    </row>
    <row r="6" spans="2:34" x14ac:dyDescent="0.3">
      <c r="B6" s="48"/>
    </row>
    <row r="7" spans="2:34" s="30" customFormat="1" ht="24.75" customHeight="1" x14ac:dyDescent="0.3">
      <c r="B7" s="47" t="str">
        <f>Uebersetzungen!D47</f>
        <v>Angaben zur Massnahme</v>
      </c>
      <c r="D7" s="29"/>
    </row>
    <row r="8" spans="2:34" s="52" customFormat="1" ht="19.899999999999999" customHeight="1" x14ac:dyDescent="0.35">
      <c r="B8" s="99" t="str">
        <f>Uebersetzungen!D42</f>
        <v>Thema Joker</v>
      </c>
      <c r="C8" s="250"/>
      <c r="D8" s="250"/>
      <c r="E8" s="100"/>
      <c r="F8" s="101"/>
    </row>
    <row r="9" spans="2:34" s="52" customFormat="1" ht="12" customHeight="1" x14ac:dyDescent="0.35">
      <c r="B9" s="102"/>
      <c r="C9" s="103"/>
      <c r="D9" s="103"/>
      <c r="E9" s="103"/>
      <c r="F9" s="104"/>
    </row>
    <row r="10" spans="2:34" s="52" customFormat="1" ht="19.149999999999999" customHeight="1" x14ac:dyDescent="0.35">
      <c r="B10" s="105" t="str">
        <f>Uebersetzungen!D43</f>
        <v>Titel</v>
      </c>
      <c r="C10" s="248"/>
      <c r="D10" s="248"/>
      <c r="E10" s="248"/>
      <c r="F10" s="249"/>
    </row>
    <row r="11" spans="2:34" s="52" customFormat="1" ht="7.5" customHeight="1" x14ac:dyDescent="0.35">
      <c r="B11" s="102"/>
      <c r="C11" s="30"/>
      <c r="D11" s="30"/>
      <c r="E11" s="30"/>
      <c r="F11" s="106"/>
    </row>
    <row r="12" spans="2:34" s="52" customFormat="1" ht="409.15" customHeight="1" x14ac:dyDescent="0.35">
      <c r="B12" s="105" t="str">
        <f>Uebersetzungen!D44</f>
        <v>Beschreibung und Wirkung</v>
      </c>
      <c r="C12" s="248"/>
      <c r="D12" s="248"/>
      <c r="E12" s="248"/>
      <c r="F12" s="249"/>
    </row>
    <row r="13" spans="2:34" s="52" customFormat="1" ht="7.5" customHeight="1" x14ac:dyDescent="0.35">
      <c r="B13" s="102"/>
      <c r="C13" s="30"/>
      <c r="D13" s="30"/>
      <c r="E13" s="30"/>
      <c r="F13" s="106"/>
    </row>
    <row r="14" spans="2:34" s="52" customFormat="1" ht="43.15" customHeight="1" x14ac:dyDescent="0.35">
      <c r="B14" s="107" t="str">
        <f>Uebersetzungen!D45</f>
        <v>Nachweise / Beilagen</v>
      </c>
      <c r="C14" s="243"/>
      <c r="D14" s="243"/>
      <c r="E14" s="243"/>
      <c r="F14" s="244"/>
    </row>
    <row r="15" spans="2:34" x14ac:dyDescent="0.3">
      <c r="B15" s="53"/>
      <c r="C15" s="53"/>
      <c r="D15" s="53"/>
    </row>
    <row r="17" spans="2:5" x14ac:dyDescent="0.3">
      <c r="B17" s="30"/>
      <c r="C17" s="30"/>
      <c r="D17" s="30"/>
      <c r="E17" s="60"/>
    </row>
    <row r="18" spans="2:5" x14ac:dyDescent="0.3">
      <c r="B18" s="30"/>
      <c r="C18" s="30"/>
      <c r="D18" s="30"/>
      <c r="E18" s="60"/>
    </row>
    <row r="19" spans="2:5" x14ac:dyDescent="0.3">
      <c r="B19" s="30"/>
      <c r="C19" s="30"/>
      <c r="D19" s="30"/>
      <c r="E19" s="30"/>
    </row>
  </sheetData>
  <sheetProtection algorithmName="SHA-512" hashValue="fcmWcRXDWBwGyRQznPP+wRpLQPGnTOY+Lx6lywwzuEF+Wv6EMajfiDAKYwJOflB4oAA+len1RyWi7ZhaqOCmxA==" saltValue="4XLO2rwSci7wS9hGwYcZmA==" spinCount="100000" sheet="1" objects="1" scenarios="1" selectLockedCells="1"/>
  <mergeCells count="6">
    <mergeCell ref="C1:D1"/>
    <mergeCell ref="E1:F1"/>
    <mergeCell ref="C10:F10"/>
    <mergeCell ref="C14:F14"/>
    <mergeCell ref="C12:F12"/>
    <mergeCell ref="C8:D8"/>
  </mergeCells>
  <dataValidations count="1">
    <dataValidation type="list" allowBlank="1" showInputMessage="1" showErrorMessage="1" sqref="E9:F9 D9 C9 C8:D8" xr:uid="{6328ABC2-5AB8-4679-A519-7462878D59CD}">
      <formula1>LST_Joker</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77FA4-F263-49DB-9A66-090A8692199E}">
  <sheetPr codeName="Tabelle10"/>
  <dimension ref="A1:F54"/>
  <sheetViews>
    <sheetView showGridLines="0" topLeftCell="A16" workbookViewId="0">
      <selection activeCell="A32" sqref="A32:B37"/>
    </sheetView>
  </sheetViews>
  <sheetFormatPr baseColWidth="10" defaultColWidth="10.54296875" defaultRowHeight="12.5" x14ac:dyDescent="0.25"/>
  <cols>
    <col min="1" max="1" width="31" style="93" customWidth="1"/>
    <col min="2" max="2" width="38.54296875" style="93" customWidth="1"/>
    <col min="3" max="3" width="8.26953125" style="93" bestFit="1" customWidth="1"/>
    <col min="4" max="4" width="23.54296875" style="93" customWidth="1"/>
    <col min="5" max="5" width="8.26953125" style="93" bestFit="1" customWidth="1"/>
    <col min="6" max="6" width="6.81640625" style="93" bestFit="1" customWidth="1"/>
    <col min="7" max="16384" width="10.54296875" style="93"/>
  </cols>
  <sheetData>
    <row r="1" spans="1:6" ht="27.4" customHeight="1" x14ac:dyDescent="0.35">
      <c r="A1" s="96" t="str">
        <f>Uebersetzungen!D113</f>
        <v>Liste</v>
      </c>
    </row>
    <row r="2" spans="1:6" ht="25" x14ac:dyDescent="0.25">
      <c r="A2" s="92" t="str">
        <f>Uebersetzungen!D38</f>
        <v>E2.5 Mobilitätsmanagement zur MIV-Reduktion</v>
      </c>
      <c r="B2" s="92" t="str">
        <f>Uebersetzungen!D4</f>
        <v>Keine Abnahmepflicht Personenwagenabstellplätze</v>
      </c>
    </row>
    <row r="3" spans="1:6" ht="25" x14ac:dyDescent="0.25">
      <c r="A3" s="92"/>
      <c r="B3" s="92" t="str">
        <f>Uebersetzungen!D5</f>
        <v>Kostendeckende Mietpreise Personenwagenabstellplätze</v>
      </c>
    </row>
    <row r="4" spans="1:6" ht="37.5" x14ac:dyDescent="0.25">
      <c r="A4" s="92"/>
      <c r="B4" s="92" t="str">
        <f>Uebersetzungen!D6</f>
        <v>Umweltfreundliche Mobilität wird für Bewohner und Beschäftigte mit mindestens CHF 175.- pro Person und Jahr gefördert</v>
      </c>
    </row>
    <row r="5" spans="1:6" ht="37.5" x14ac:dyDescent="0.25">
      <c r="A5" s="92"/>
      <c r="B5" s="92" t="str">
        <f>Uebersetzungen!D7</f>
        <v>Mindestens drei verschiedene ergänzende Serviceangebote oder Infrastrukturen für Velonutzende werden angeboten.</v>
      </c>
    </row>
    <row r="6" spans="1:6" ht="50" x14ac:dyDescent="0.25">
      <c r="A6" s="92"/>
      <c r="B6" s="92" t="str">
        <f>Uebersetzungen!D8</f>
        <v>Mietvertragliche Regelungen zum Autobesitz (Wohnen) bzw. festgelegte griffige Kriterien zur Vergabe von Personenwagenabstellplätzen bzw. Parkierungsberechtigungen (Arbeiten)</v>
      </c>
    </row>
    <row r="7" spans="1:6" ht="25" x14ac:dyDescent="0.25">
      <c r="A7" s="92"/>
      <c r="B7" s="92" t="str">
        <f>Uebersetzungen!D9</f>
        <v>Gehdistanz zwischen Eingängen aller Gebäude und der nächsten ÖV-Haltestelle ≤ 500 Meter</v>
      </c>
    </row>
    <row r="9" spans="1:6" ht="25" x14ac:dyDescent="0.25">
      <c r="A9" s="92" t="str">
        <f>Uebersetzungen!D37</f>
        <v>E2.4 Areal-interne Angebote zur Verkehrsreduktion</v>
      </c>
      <c r="B9" s="92" t="str">
        <f>Uebersetzungen!D16</f>
        <v>Güter: Nahrungsmittel, Getränke, Hygieneartikel oder Medikamente, weitere</v>
      </c>
    </row>
    <row r="10" spans="1:6" ht="37.5" x14ac:dyDescent="0.25">
      <c r="A10" s="92"/>
      <c r="B10" s="92" t="str">
        <f>Uebersetzungen!D17</f>
        <v>Dienstleitungen: Café, Restaurant, Briefkasten, Bancomat, Co-Working-Space, weitere</v>
      </c>
    </row>
    <row r="11" spans="1:6" ht="37.5" x14ac:dyDescent="0.25">
      <c r="A11" s="92"/>
      <c r="B11" s="92" t="str">
        <f>Uebersetzungen!D18</f>
        <v>Soziale Einrichtungen: Kinderbetreuung, Kindergarten, Gemeinschaftseinrichtung, weitere</v>
      </c>
    </row>
    <row r="13" spans="1:6" ht="25" x14ac:dyDescent="0.25">
      <c r="A13" s="92" t="str">
        <f>Uebersetzungen!D24</f>
        <v>B1.4 Sicherstellung einer hohen Nutzungsdichte</v>
      </c>
      <c r="B13" s="92"/>
      <c r="C13" s="94" t="str">
        <f>Uebersetzungen!D72</f>
        <v>EBF [m2]</v>
      </c>
      <c r="D13" s="92" t="str">
        <f>Uebersetzungen!D73</f>
        <v>Einheit</v>
      </c>
      <c r="E13" s="94" t="str">
        <f>Uebersetzungen!D72</f>
        <v>EBF [m2]</v>
      </c>
      <c r="F13" s="92" t="str">
        <f>Uebersetzungen!D73</f>
        <v>Einheit</v>
      </c>
    </row>
    <row r="14" spans="1:6" x14ac:dyDescent="0.25">
      <c r="A14" s="92"/>
      <c r="B14" s="92" t="str">
        <f>Uebersetzungen!D48&amp;", "&amp;Uebersetzungen!D49</f>
        <v>Wohnen MFH, Wohnen EFH</v>
      </c>
      <c r="C14" s="95">
        <v>48</v>
      </c>
      <c r="D14" s="92" t="str">
        <f>Uebersetzungen!$D$74</f>
        <v>Bewohner</v>
      </c>
      <c r="E14" s="94"/>
      <c r="F14" s="92"/>
    </row>
    <row r="15" spans="1:6" x14ac:dyDescent="0.25">
      <c r="A15" s="92"/>
      <c r="B15" s="92" t="str">
        <f>Uebersetzungen!D50</f>
        <v>Verwaltung</v>
      </c>
      <c r="C15" s="95">
        <v>36</v>
      </c>
      <c r="D15" s="92" t="str">
        <f>Uebersetzungen!$D$75</f>
        <v>Vollzeitäquivalent</v>
      </c>
      <c r="E15" s="95"/>
      <c r="F15" s="92"/>
    </row>
    <row r="16" spans="1:6" x14ac:dyDescent="0.25">
      <c r="A16" s="92"/>
      <c r="B16" s="92" t="str">
        <f>Uebersetzungen!D51</f>
        <v xml:space="preserve">Schulen </v>
      </c>
      <c r="C16" s="95">
        <v>144</v>
      </c>
      <c r="D16" s="92" t="str">
        <f>Uebersetzungen!$D$75</f>
        <v>Vollzeitäquivalent</v>
      </c>
      <c r="E16" s="94">
        <v>17</v>
      </c>
      <c r="F16" s="92" t="str">
        <f>Uebersetzungen!D76</f>
        <v>Schüler</v>
      </c>
    </row>
    <row r="17" spans="1:6" x14ac:dyDescent="0.25">
      <c r="A17" s="92"/>
      <c r="B17" s="92" t="str">
        <f>Uebersetzungen!D61</f>
        <v>Verkauf (Fachgeschäft)</v>
      </c>
      <c r="C17" s="95">
        <v>72</v>
      </c>
      <c r="D17" s="92" t="str">
        <f>Uebersetzungen!$D$75</f>
        <v>Vollzeitäquivalent</v>
      </c>
      <c r="E17" s="95"/>
      <c r="F17" s="92"/>
    </row>
    <row r="18" spans="1:6" x14ac:dyDescent="0.25">
      <c r="A18" s="92"/>
      <c r="B18" s="92" t="str">
        <f>Uebersetzungen!D62</f>
        <v>Verkauf (Lebensmittelgeschäft)</v>
      </c>
      <c r="C18" s="94">
        <v>52</v>
      </c>
      <c r="D18" s="92" t="str">
        <f>Uebersetzungen!$D$75</f>
        <v>Vollzeitäquivalent</v>
      </c>
      <c r="E18" s="95"/>
      <c r="F18" s="91"/>
    </row>
    <row r="19" spans="1:6" x14ac:dyDescent="0.25">
      <c r="A19" s="92"/>
      <c r="B19" s="92" t="str">
        <f>Uebersetzungen!D53</f>
        <v>Restaurant</v>
      </c>
      <c r="C19" s="95">
        <v>52</v>
      </c>
      <c r="D19" s="92" t="str">
        <f>Uebersetzungen!$D$75</f>
        <v>Vollzeitäquivalent</v>
      </c>
      <c r="E19" s="95"/>
      <c r="F19" s="92"/>
    </row>
    <row r="22" spans="1:6" ht="26" x14ac:dyDescent="0.3">
      <c r="A22" s="204" t="str">
        <f>Uebersetzungen!D36</f>
        <v>E2.3 Minimum an Personenwagenabstellplätzen</v>
      </c>
      <c r="B22" s="92" t="str">
        <f>Uebersetzungen!D139</f>
        <v>Zentrum</v>
      </c>
      <c r="C22" s="92">
        <v>0.8</v>
      </c>
    </row>
    <row r="23" spans="1:6" x14ac:dyDescent="0.25">
      <c r="A23" s="92"/>
      <c r="B23" s="92" t="str">
        <f>Uebersetzungen!D140</f>
        <v>Agglomeration</v>
      </c>
      <c r="C23" s="92">
        <v>0.9</v>
      </c>
    </row>
    <row r="24" spans="1:6" x14ac:dyDescent="0.25">
      <c r="A24" s="92"/>
      <c r="B24" s="92" t="str">
        <f>Uebersetzungen!D141</f>
        <v>Land</v>
      </c>
      <c r="C24" s="92">
        <v>1</v>
      </c>
    </row>
    <row r="26" spans="1:6" ht="25" x14ac:dyDescent="0.25">
      <c r="A26" s="92" t="str">
        <f>Uebersetzungen!D143</f>
        <v>Anteil Langsamverkehr am gesamten erzeugten Personenverkehr</v>
      </c>
      <c r="B26" s="251" t="str">
        <f>Uebersetzungen!D142</f>
        <v>Bedienungshäufigkeit des öffentlichen Verkehrs</v>
      </c>
      <c r="C26" s="251"/>
      <c r="D26" s="251"/>
    </row>
    <row r="27" spans="1:6" ht="39" x14ac:dyDescent="0.3">
      <c r="A27" s="204"/>
      <c r="B27" s="204" t="str">
        <f>Uebersetzungen!D144</f>
        <v>≥ 4-mal pro Stunde</v>
      </c>
      <c r="C27" s="204" t="str">
        <f>Uebersetzungen!D145</f>
        <v>1 - 4-mal pro Stunde</v>
      </c>
      <c r="D27" s="204" t="str">
        <f>Uebersetzungen!D146</f>
        <v>Nicht mit ÖV erschlossen</v>
      </c>
    </row>
    <row r="28" spans="1:6" ht="13" x14ac:dyDescent="0.3">
      <c r="A28" s="204" t="s">
        <v>411</v>
      </c>
      <c r="B28" s="92" t="s">
        <v>414</v>
      </c>
      <c r="C28" s="92" t="s">
        <v>415</v>
      </c>
      <c r="D28" s="92" t="s">
        <v>416</v>
      </c>
    </row>
    <row r="29" spans="1:6" ht="13" x14ac:dyDescent="0.3">
      <c r="A29" s="204" t="s">
        <v>413</v>
      </c>
      <c r="B29" s="92" t="s">
        <v>415</v>
      </c>
      <c r="C29" s="92" t="s">
        <v>416</v>
      </c>
      <c r="D29" s="92" t="s">
        <v>426</v>
      </c>
    </row>
    <row r="30" spans="1:6" ht="13" x14ac:dyDescent="0.3">
      <c r="A30" s="204" t="s">
        <v>412</v>
      </c>
      <c r="B30" s="92" t="s">
        <v>416</v>
      </c>
      <c r="C30" s="92" t="s">
        <v>426</v>
      </c>
      <c r="D30" s="92" t="s">
        <v>427</v>
      </c>
    </row>
    <row r="32" spans="1:6" x14ac:dyDescent="0.25">
      <c r="A32" s="92" t="str">
        <f>Uebersetzungen!D147</f>
        <v>Standort-Typ</v>
      </c>
      <c r="B32" s="205" t="str">
        <f>Uebersetzungen!D148</f>
        <v>Minimum</v>
      </c>
    </row>
    <row r="33" spans="1:2" x14ac:dyDescent="0.25">
      <c r="A33" s="92" t="s">
        <v>414</v>
      </c>
      <c r="B33" s="206">
        <v>0.2</v>
      </c>
    </row>
    <row r="34" spans="1:2" x14ac:dyDescent="0.25">
      <c r="A34" s="92" t="s">
        <v>415</v>
      </c>
      <c r="B34" s="206">
        <v>0.4</v>
      </c>
    </row>
    <row r="35" spans="1:2" x14ac:dyDescent="0.25">
      <c r="A35" s="92" t="s">
        <v>416</v>
      </c>
      <c r="B35" s="206">
        <v>0.5</v>
      </c>
    </row>
    <row r="36" spans="1:2" x14ac:dyDescent="0.25">
      <c r="A36" s="92" t="s">
        <v>426</v>
      </c>
      <c r="B36" s="206">
        <v>0.7</v>
      </c>
    </row>
    <row r="37" spans="1:2" x14ac:dyDescent="0.25">
      <c r="A37" s="92" t="s">
        <v>427</v>
      </c>
      <c r="B37" s="206">
        <v>0.9</v>
      </c>
    </row>
    <row r="42" spans="1:2" x14ac:dyDescent="0.25">
      <c r="A42" s="92" t="str">
        <f>Uebersetzungen!D41</f>
        <v>Joker</v>
      </c>
      <c r="B42" s="92" t="str">
        <f>Uebersetzungen!D26</f>
        <v>B1.6 Joker Areal-Management</v>
      </c>
    </row>
    <row r="43" spans="1:2" x14ac:dyDescent="0.25">
      <c r="A43" s="92"/>
      <c r="B43" s="92" t="str">
        <f>Uebersetzungen!D31</f>
        <v>C2.5 Joker Energie und Treibhausgase</v>
      </c>
    </row>
    <row r="44" spans="1:2" x14ac:dyDescent="0.25">
      <c r="A44" s="92"/>
      <c r="B44" s="92" t="str">
        <f>Uebersetzungen!D35</f>
        <v>D1.7 Joker Komfort und Klimaanpassung</v>
      </c>
    </row>
    <row r="45" spans="1:2" x14ac:dyDescent="0.25">
      <c r="A45" s="92"/>
      <c r="B45" s="92" t="str">
        <f>Uebersetzungen!D40</f>
        <v>E2.7 Joker Mobilität</v>
      </c>
    </row>
    <row r="47" spans="1:2" x14ac:dyDescent="0.25">
      <c r="A47" s="92" t="str">
        <f>Uebersetzungen!D28</f>
        <v>C2.2 Einsatz lokaler Ressourcen</v>
      </c>
      <c r="B47" s="92" t="str">
        <f>Uebersetzungen!D121</f>
        <v>Neubau</v>
      </c>
    </row>
    <row r="48" spans="1:2" x14ac:dyDescent="0.25">
      <c r="A48" s="92"/>
      <c r="B48" s="92" t="str">
        <f>Uebersetzungen!D122</f>
        <v>Erneuerung</v>
      </c>
    </row>
    <row r="50" spans="1:2" x14ac:dyDescent="0.25">
      <c r="A50" s="92" t="str">
        <f>Uebersetzungen!D28</f>
        <v>C2.2 Einsatz lokaler Ressourcen</v>
      </c>
      <c r="B50" s="92" t="str">
        <f>Uebersetzungen!D64</f>
        <v>ja</v>
      </c>
    </row>
    <row r="51" spans="1:2" x14ac:dyDescent="0.25">
      <c r="A51" s="92"/>
      <c r="B51" s="92" t="str">
        <f>Uebersetzungen!D65</f>
        <v>nein</v>
      </c>
    </row>
    <row r="53" spans="1:2" x14ac:dyDescent="0.25">
      <c r="A53" s="92" t="str">
        <f>Uebersetzungen!D28</f>
        <v>C2.2 Einsatz lokaler Ressourcen</v>
      </c>
      <c r="B53" s="92"/>
    </row>
    <row r="54" spans="1:2" x14ac:dyDescent="0.25">
      <c r="A54" s="92"/>
      <c r="B54" s="92" t="s">
        <v>118</v>
      </c>
    </row>
  </sheetData>
  <sheetProtection algorithmName="SHA-512" hashValue="JlwOBsnkblEW0SBpZZPO1d4XDh54qp6JCOJ6amXf8zsp/EPeL9OPtUHuTsJ6N9fciE/SAdtpJtd3bvU4Yk6nGA==" saltValue="1UnsFvLgLr9p/Cc7AquQNw==" spinCount="100000" sheet="1" objects="1" scenarios="1"/>
  <mergeCells count="1">
    <mergeCell ref="B26:D26"/>
  </mergeCells>
  <phoneticPr fontId="12" type="noConversion"/>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D9CA2-27AE-437F-8DAB-69BE66777744}">
  <sheetPr codeName="Tabelle11"/>
  <dimension ref="A1:I178"/>
  <sheetViews>
    <sheetView workbookViewId="0">
      <selection activeCell="C3" sqref="C3"/>
    </sheetView>
  </sheetViews>
  <sheetFormatPr baseColWidth="10" defaultColWidth="11.453125" defaultRowHeight="11.5" x14ac:dyDescent="0.25"/>
  <cols>
    <col min="1" max="1" width="6.81640625" style="9" customWidth="1"/>
    <col min="2" max="2" width="12.7265625" style="9" customWidth="1"/>
    <col min="3" max="3" width="12.1796875" style="20" customWidth="1"/>
    <col min="4" max="4" width="46.26953125" style="21" customWidth="1"/>
    <col min="5" max="5" width="51.26953125" style="22" customWidth="1"/>
    <col min="6" max="6" width="46.26953125" style="22" customWidth="1"/>
    <col min="7" max="7" width="46.26953125" style="9" customWidth="1"/>
    <col min="8" max="8" width="11.453125" style="9"/>
    <col min="9" max="9" width="6.1796875" style="9" customWidth="1"/>
    <col min="10" max="16384" width="11.453125" style="9"/>
  </cols>
  <sheetData>
    <row r="1" spans="1:9" ht="23.25" customHeight="1" thickBot="1" x14ac:dyDescent="0.3">
      <c r="A1" s="1">
        <f>VLOOKUP(C1,H1:I3,2)</f>
        <v>1</v>
      </c>
      <c r="B1" s="2" t="s">
        <v>1</v>
      </c>
      <c r="C1" s="3" t="s">
        <v>2</v>
      </c>
      <c r="D1" s="4"/>
      <c r="E1" s="5" t="s">
        <v>3</v>
      </c>
      <c r="F1" s="6"/>
      <c r="G1" s="6"/>
      <c r="H1" s="7" t="str">
        <f>E3</f>
        <v>deutsch</v>
      </c>
      <c r="I1" s="8">
        <v>1</v>
      </c>
    </row>
    <row r="2" spans="1:9" ht="23.25" customHeight="1" thickBot="1" x14ac:dyDescent="0.3">
      <c r="A2" s="10">
        <v>1</v>
      </c>
      <c r="B2" s="11"/>
      <c r="C2" s="12">
        <v>2025</v>
      </c>
      <c r="D2" s="13" t="s">
        <v>4</v>
      </c>
      <c r="E2" s="7"/>
      <c r="F2" s="6"/>
      <c r="G2" s="6"/>
      <c r="H2" s="7" t="str">
        <f>F3</f>
        <v>französisch</v>
      </c>
      <c r="I2" s="8">
        <v>2</v>
      </c>
    </row>
    <row r="3" spans="1:9" ht="23.25" customHeight="1" x14ac:dyDescent="0.25">
      <c r="A3" s="14"/>
      <c r="B3" s="15"/>
      <c r="C3" s="15" t="s">
        <v>5</v>
      </c>
      <c r="D3" s="16" t="s">
        <v>6</v>
      </c>
      <c r="E3" s="17" t="s">
        <v>2</v>
      </c>
      <c r="F3" s="18" t="s">
        <v>7</v>
      </c>
      <c r="G3" s="19" t="s">
        <v>8</v>
      </c>
      <c r="H3" s="7" t="str">
        <f>G3</f>
        <v>italienisch</v>
      </c>
      <c r="I3" s="8">
        <v>3</v>
      </c>
    </row>
    <row r="4" spans="1:9" ht="23.25" customHeight="1" x14ac:dyDescent="0.25">
      <c r="C4" s="20">
        <v>1</v>
      </c>
      <c r="D4" s="21" t="str">
        <f t="shared" ref="D4:D67" si="0">INDEX($E$4:$G$503,$C4,$A$1)</f>
        <v>Keine Abnahmepflicht Personenwagenabstellplätze</v>
      </c>
      <c r="E4" s="22" t="s">
        <v>11</v>
      </c>
      <c r="F4" s="22" t="s">
        <v>271</v>
      </c>
      <c r="G4" s="22" t="s">
        <v>247</v>
      </c>
    </row>
    <row r="5" spans="1:9" x14ac:dyDescent="0.25">
      <c r="C5" s="20">
        <v>2</v>
      </c>
      <c r="D5" s="21" t="str">
        <f t="shared" si="0"/>
        <v>Kostendeckende Mietpreise Personenwagenabstellplätze</v>
      </c>
      <c r="E5" s="22" t="s">
        <v>12</v>
      </c>
      <c r="F5" s="22" t="s">
        <v>272</v>
      </c>
      <c r="G5" s="22" t="s">
        <v>146</v>
      </c>
    </row>
    <row r="6" spans="1:9" ht="34.5" x14ac:dyDescent="0.25">
      <c r="C6" s="20">
        <v>3</v>
      </c>
      <c r="D6" s="21" t="str">
        <f t="shared" si="0"/>
        <v>Umweltfreundliche Mobilität wird für Bewohner und Beschäftigte mit mindestens CHF 175.- pro Person und Jahr gefördert</v>
      </c>
      <c r="E6" s="22" t="s">
        <v>15</v>
      </c>
      <c r="F6" s="22" t="s">
        <v>273</v>
      </c>
      <c r="G6" s="22" t="s">
        <v>147</v>
      </c>
    </row>
    <row r="7" spans="1:9" ht="34.5" x14ac:dyDescent="0.25">
      <c r="C7" s="20">
        <v>4</v>
      </c>
      <c r="D7" s="21" t="str">
        <f t="shared" si="0"/>
        <v>Mindestens drei verschiedene ergänzende Serviceangebote oder Infrastrukturen für Velonutzende werden angeboten.</v>
      </c>
      <c r="E7" s="22" t="s">
        <v>16</v>
      </c>
      <c r="F7" s="22" t="s">
        <v>274</v>
      </c>
      <c r="G7" s="22" t="s">
        <v>148</v>
      </c>
    </row>
    <row r="8" spans="1:9" ht="46" x14ac:dyDescent="0.25">
      <c r="C8" s="20">
        <v>5</v>
      </c>
      <c r="D8" s="21" t="str">
        <f t="shared" si="0"/>
        <v>Mietvertragliche Regelungen zum Autobesitz (Wohnen) bzw. festgelegte griffige Kriterien zur Vergabe von Personenwagenabstellplätzen bzw. Parkierungsberechtigungen (Arbeiten)</v>
      </c>
      <c r="E8" s="22" t="s">
        <v>17</v>
      </c>
      <c r="F8" s="22" t="s">
        <v>275</v>
      </c>
      <c r="G8" s="22" t="s">
        <v>248</v>
      </c>
    </row>
    <row r="9" spans="1:9" ht="23.5" x14ac:dyDescent="0.3">
      <c r="C9" s="20">
        <v>6</v>
      </c>
      <c r="D9" s="21" t="str">
        <f t="shared" si="0"/>
        <v>Gehdistanz zwischen Eingängen aller Gebäude und der nächsten ÖV-Haltestelle ≤ 500 Meter</v>
      </c>
      <c r="E9" s="22" t="s">
        <v>18</v>
      </c>
      <c r="F9" s="22" t="s">
        <v>276</v>
      </c>
      <c r="G9" s="22" t="s">
        <v>249</v>
      </c>
    </row>
    <row r="10" spans="1:9" x14ac:dyDescent="0.25">
      <c r="C10" s="20">
        <v>7</v>
      </c>
      <c r="D10" s="21">
        <f t="shared" si="0"/>
        <v>0</v>
      </c>
      <c r="G10" s="22"/>
    </row>
    <row r="11" spans="1:9" x14ac:dyDescent="0.25">
      <c r="C11" s="20">
        <v>8</v>
      </c>
      <c r="D11" s="21" t="str">
        <f t="shared" si="0"/>
        <v>Hilfstool Wahlvorgaben</v>
      </c>
      <c r="E11" s="22" t="s">
        <v>28</v>
      </c>
      <c r="F11" s="22" t="s">
        <v>277</v>
      </c>
      <c r="G11" s="22" t="s">
        <v>250</v>
      </c>
    </row>
    <row r="12" spans="1:9" x14ac:dyDescent="0.25">
      <c r="C12" s="20">
        <v>9</v>
      </c>
      <c r="D12" s="21" t="str">
        <f t="shared" si="0"/>
        <v>Massnahme zur Reduktion des MIV</v>
      </c>
      <c r="E12" s="22" t="s">
        <v>14</v>
      </c>
      <c r="F12" s="22" t="s">
        <v>278</v>
      </c>
      <c r="G12" s="22" t="s">
        <v>149</v>
      </c>
    </row>
    <row r="13" spans="1:9" x14ac:dyDescent="0.25">
      <c r="C13" s="20">
        <v>10</v>
      </c>
      <c r="D13" s="21">
        <f t="shared" si="0"/>
        <v>0</v>
      </c>
      <c r="G13" s="22"/>
    </row>
    <row r="14" spans="1:9" x14ac:dyDescent="0.25">
      <c r="C14" s="20">
        <v>11</v>
      </c>
      <c r="D14" s="21" t="str">
        <f>INDEX($E$4:$G$503,$C14,$A$1)</f>
        <v>Angaben zu den Massnahmen</v>
      </c>
      <c r="E14" s="22" t="s">
        <v>105</v>
      </c>
      <c r="F14" s="22" t="s">
        <v>279</v>
      </c>
      <c r="G14" s="22" t="s">
        <v>150</v>
      </c>
    </row>
    <row r="15" spans="1:9" x14ac:dyDescent="0.25">
      <c r="C15" s="20">
        <v>12</v>
      </c>
      <c r="D15" s="21" t="str">
        <f t="shared" si="0"/>
        <v>Eingabe</v>
      </c>
      <c r="E15" s="22" t="s">
        <v>76</v>
      </c>
      <c r="F15" s="22" t="s">
        <v>280</v>
      </c>
      <c r="G15" s="22" t="s">
        <v>151</v>
      </c>
    </row>
    <row r="16" spans="1:9" ht="23" x14ac:dyDescent="0.25">
      <c r="C16" s="20">
        <v>13</v>
      </c>
      <c r="D16" s="21" t="str">
        <f t="shared" si="0"/>
        <v>Güter: Nahrungsmittel, Getränke, Hygieneartikel oder Medikamente, weitere</v>
      </c>
      <c r="E16" s="22" t="s">
        <v>20</v>
      </c>
      <c r="F16" s="22" t="s">
        <v>281</v>
      </c>
      <c r="G16" s="22" t="s">
        <v>152</v>
      </c>
    </row>
    <row r="17" spans="3:7" ht="23" x14ac:dyDescent="0.25">
      <c r="C17" s="20">
        <v>14</v>
      </c>
      <c r="D17" s="21" t="str">
        <f t="shared" si="0"/>
        <v>Dienstleitungen: Café, Restaurant, Briefkasten, Bancomat, Co-Working-Space, weitere</v>
      </c>
      <c r="E17" s="22" t="s">
        <v>21</v>
      </c>
      <c r="F17" s="22" t="s">
        <v>282</v>
      </c>
      <c r="G17" s="22" t="s">
        <v>153</v>
      </c>
    </row>
    <row r="18" spans="3:7" ht="23" x14ac:dyDescent="0.25">
      <c r="C18" s="20">
        <v>15</v>
      </c>
      <c r="D18" s="21" t="str">
        <f t="shared" si="0"/>
        <v>Soziale Einrichtungen: Kinderbetreuung, Kindergarten, Gemeinschaftseinrichtung, weitere</v>
      </c>
      <c r="E18" s="22" t="s">
        <v>22</v>
      </c>
      <c r="F18" s="22" t="s">
        <v>283</v>
      </c>
      <c r="G18" s="22" t="s">
        <v>154</v>
      </c>
    </row>
    <row r="19" spans="3:7" x14ac:dyDescent="0.25">
      <c r="C19" s="20">
        <v>16</v>
      </c>
      <c r="D19" s="21" t="str">
        <f t="shared" si="0"/>
        <v>Areal-internes Angebot zur Verkehrsreduktion</v>
      </c>
      <c r="E19" s="22" t="s">
        <v>23</v>
      </c>
      <c r="F19" s="22" t="s">
        <v>284</v>
      </c>
      <c r="G19" s="22" t="s">
        <v>155</v>
      </c>
    </row>
    <row r="20" spans="3:7" x14ac:dyDescent="0.25">
      <c r="C20" s="20">
        <v>17</v>
      </c>
      <c r="D20" s="21" t="str">
        <f t="shared" si="0"/>
        <v>Auswahlfeld</v>
      </c>
      <c r="E20" s="22" t="s">
        <v>75</v>
      </c>
      <c r="F20" s="22" t="s">
        <v>285</v>
      </c>
      <c r="G20" s="22" t="s">
        <v>156</v>
      </c>
    </row>
    <row r="21" spans="3:7" x14ac:dyDescent="0.25">
      <c r="C21" s="20">
        <v>18</v>
      </c>
      <c r="D21" s="21" t="str">
        <f t="shared" si="0"/>
        <v>Anzahl Parkplätze total</v>
      </c>
      <c r="E21" s="22" t="s">
        <v>25</v>
      </c>
      <c r="F21" s="22" t="s">
        <v>286</v>
      </c>
      <c r="G21" s="22" t="s">
        <v>157</v>
      </c>
    </row>
    <row r="22" spans="3:7" ht="23" x14ac:dyDescent="0.25">
      <c r="C22" s="20">
        <v>19</v>
      </c>
      <c r="D22" s="21" t="str">
        <f t="shared" si="0"/>
        <v xml:space="preserve">Anzahl Parkplätze mit bidirektionalen Ladestationen </v>
      </c>
      <c r="E22" s="22" t="s">
        <v>26</v>
      </c>
      <c r="F22" s="22" t="s">
        <v>287</v>
      </c>
      <c r="G22" s="22" t="s">
        <v>158</v>
      </c>
    </row>
    <row r="23" spans="3:7" ht="23" x14ac:dyDescent="0.25">
      <c r="C23" s="20">
        <v>20</v>
      </c>
      <c r="D23" s="21" t="str">
        <f t="shared" si="0"/>
        <v>Flächenanteil 80% oder mehr -&gt; 2. Gebäudekategorie muss nicht eingegeben werden</v>
      </c>
      <c r="E23" s="22" t="s">
        <v>114</v>
      </c>
      <c r="F23" s="22" t="s">
        <v>288</v>
      </c>
      <c r="G23" s="22" t="s">
        <v>159</v>
      </c>
    </row>
    <row r="24" spans="3:7" x14ac:dyDescent="0.25">
      <c r="C24" s="20">
        <v>21</v>
      </c>
      <c r="D24" s="21" t="str">
        <f t="shared" si="0"/>
        <v>B1.4 Sicherstellung einer hohen Nutzungsdichte</v>
      </c>
      <c r="E24" s="22" t="s">
        <v>29</v>
      </c>
      <c r="F24" s="22" t="s">
        <v>289</v>
      </c>
      <c r="G24" s="22" t="s">
        <v>160</v>
      </c>
    </row>
    <row r="25" spans="3:7" x14ac:dyDescent="0.25">
      <c r="C25" s="20">
        <v>22</v>
      </c>
      <c r="D25" s="21" t="str">
        <f t="shared" si="0"/>
        <v>B1.5 Visualisierung von Messgrössen für Nutzende</v>
      </c>
      <c r="E25" s="22" t="s">
        <v>30</v>
      </c>
      <c r="F25" s="22" t="s">
        <v>290</v>
      </c>
      <c r="G25" s="22" t="s">
        <v>161</v>
      </c>
    </row>
    <row r="26" spans="3:7" x14ac:dyDescent="0.25">
      <c r="C26" s="20">
        <v>23</v>
      </c>
      <c r="D26" s="21" t="str">
        <f t="shared" si="0"/>
        <v>B1.6 Joker Areal-Management</v>
      </c>
      <c r="E26" s="22" t="s">
        <v>31</v>
      </c>
      <c r="F26" s="22" t="s">
        <v>395</v>
      </c>
      <c r="G26" s="22" t="s">
        <v>162</v>
      </c>
    </row>
    <row r="27" spans="3:7" x14ac:dyDescent="0.25">
      <c r="C27" s="20">
        <v>24</v>
      </c>
      <c r="D27" s="21" t="str">
        <f t="shared" si="0"/>
        <v>C1.5 Innovative Speicherlösungen</v>
      </c>
      <c r="E27" s="22" t="s">
        <v>32</v>
      </c>
      <c r="F27" s="22" t="s">
        <v>291</v>
      </c>
      <c r="G27" s="22" t="s">
        <v>163</v>
      </c>
    </row>
    <row r="28" spans="3:7" x14ac:dyDescent="0.25">
      <c r="C28" s="20">
        <v>25</v>
      </c>
      <c r="D28" s="21" t="str">
        <f t="shared" si="0"/>
        <v>C2.2 Einsatz lokaler Ressourcen</v>
      </c>
      <c r="E28" s="22" t="s">
        <v>33</v>
      </c>
      <c r="F28" s="22" t="s">
        <v>292</v>
      </c>
      <c r="G28" s="22" t="s">
        <v>164</v>
      </c>
    </row>
    <row r="29" spans="3:7" x14ac:dyDescent="0.25">
      <c r="C29" s="20">
        <v>26</v>
      </c>
      <c r="D29" s="21" t="str">
        <f t="shared" si="0"/>
        <v xml:space="preserve">C2.3 Wiederverwendung von Bauteilgruppen </v>
      </c>
      <c r="E29" s="22" t="s">
        <v>34</v>
      </c>
      <c r="F29" s="22" t="s">
        <v>293</v>
      </c>
      <c r="G29" s="22" t="s">
        <v>165</v>
      </c>
    </row>
    <row r="30" spans="3:7" ht="23" x14ac:dyDescent="0.25">
      <c r="C30" s="20">
        <v>27</v>
      </c>
      <c r="D30" s="21" t="str">
        <f t="shared" si="0"/>
        <v>C2.4 Wenig Erdbewegungen für Geländegestaltung</v>
      </c>
      <c r="E30" s="22" t="s">
        <v>35</v>
      </c>
      <c r="F30" s="22" t="s">
        <v>294</v>
      </c>
      <c r="G30" s="22" t="s">
        <v>166</v>
      </c>
    </row>
    <row r="31" spans="3:7" x14ac:dyDescent="0.25">
      <c r="C31" s="20">
        <v>28</v>
      </c>
      <c r="D31" s="21" t="str">
        <f t="shared" si="0"/>
        <v>C2.5 Joker Energie und Treibhausgase</v>
      </c>
      <c r="E31" s="22" t="s">
        <v>36</v>
      </c>
      <c r="F31" s="22" t="s">
        <v>295</v>
      </c>
      <c r="G31" s="22" t="s">
        <v>167</v>
      </c>
    </row>
    <row r="32" spans="3:7" x14ac:dyDescent="0.25">
      <c r="C32" s="20">
        <v>29</v>
      </c>
      <c r="D32" s="21" t="str">
        <f t="shared" si="0"/>
        <v>D1.4 Durchlüftung im Areal</v>
      </c>
      <c r="E32" s="22" t="s">
        <v>37</v>
      </c>
      <c r="F32" s="22" t="s">
        <v>296</v>
      </c>
      <c r="G32" s="22" t="s">
        <v>168</v>
      </c>
    </row>
    <row r="33" spans="3:7" x14ac:dyDescent="0.25">
      <c r="C33" s="20">
        <v>30</v>
      </c>
      <c r="D33" s="21" t="str">
        <f t="shared" si="0"/>
        <v>D1.5 Regenwassernutzung</v>
      </c>
      <c r="E33" s="22" t="s">
        <v>38</v>
      </c>
      <c r="F33" s="22" t="s">
        <v>297</v>
      </c>
      <c r="G33" s="22" t="s">
        <v>169</v>
      </c>
    </row>
    <row r="34" spans="3:7" ht="23" x14ac:dyDescent="0.25">
      <c r="C34" s="20">
        <v>31</v>
      </c>
      <c r="D34" s="21" t="str">
        <f t="shared" si="0"/>
        <v>D1.6 Keine Unterbauung von Freiflächen</v>
      </c>
      <c r="E34" s="22" t="s">
        <v>39</v>
      </c>
      <c r="F34" s="22" t="s">
        <v>298</v>
      </c>
      <c r="G34" s="22" t="s">
        <v>170</v>
      </c>
    </row>
    <row r="35" spans="3:7" x14ac:dyDescent="0.25">
      <c r="C35" s="20">
        <v>32</v>
      </c>
      <c r="D35" s="21" t="str">
        <f t="shared" si="0"/>
        <v>D1.7 Joker Komfort und Klimaanpassung</v>
      </c>
      <c r="E35" s="22" t="s">
        <v>40</v>
      </c>
      <c r="F35" s="22" t="s">
        <v>396</v>
      </c>
      <c r="G35" s="22" t="s">
        <v>171</v>
      </c>
    </row>
    <row r="36" spans="3:7" x14ac:dyDescent="0.25">
      <c r="C36" s="20">
        <v>33</v>
      </c>
      <c r="D36" s="21" t="str">
        <f t="shared" si="0"/>
        <v>E2.3 Minimum an Personenwagenabstellplätzen</v>
      </c>
      <c r="E36" s="22" t="s">
        <v>41</v>
      </c>
      <c r="F36" s="22" t="s">
        <v>299</v>
      </c>
      <c r="G36" s="22" t="s">
        <v>172</v>
      </c>
    </row>
    <row r="37" spans="3:7" x14ac:dyDescent="0.25">
      <c r="C37" s="20">
        <v>34</v>
      </c>
      <c r="D37" s="21" t="str">
        <f t="shared" si="0"/>
        <v>E2.4 Areal-interne Angebote zur Verkehrsreduktion</v>
      </c>
      <c r="E37" s="22" t="s">
        <v>13</v>
      </c>
      <c r="F37" s="22" t="s">
        <v>300</v>
      </c>
      <c r="G37" s="22" t="s">
        <v>173</v>
      </c>
    </row>
    <row r="38" spans="3:7" x14ac:dyDescent="0.25">
      <c r="C38" s="20">
        <v>35</v>
      </c>
      <c r="D38" s="21" t="str">
        <f t="shared" si="0"/>
        <v>E2.5 Mobilitätsmanagement zur MIV-Reduktion</v>
      </c>
      <c r="E38" s="22" t="s">
        <v>19</v>
      </c>
      <c r="F38" s="22" t="s">
        <v>301</v>
      </c>
      <c r="G38" s="22" t="s">
        <v>174</v>
      </c>
    </row>
    <row r="39" spans="3:7" x14ac:dyDescent="0.25">
      <c r="C39" s="20">
        <v>36</v>
      </c>
      <c r="D39" s="21" t="str">
        <f t="shared" si="0"/>
        <v>E2.6 Bidirektionale Ladestationen</v>
      </c>
      <c r="E39" s="22" t="s">
        <v>24</v>
      </c>
      <c r="F39" s="22" t="s">
        <v>302</v>
      </c>
      <c r="G39" s="22" t="s">
        <v>175</v>
      </c>
    </row>
    <row r="40" spans="3:7" x14ac:dyDescent="0.25">
      <c r="C40" s="20">
        <v>37</v>
      </c>
      <c r="D40" s="21" t="str">
        <f t="shared" si="0"/>
        <v>E2.7 Joker Mobilität</v>
      </c>
      <c r="E40" s="22" t="s">
        <v>42</v>
      </c>
      <c r="F40" s="22" t="s">
        <v>397</v>
      </c>
      <c r="G40" s="22" t="s">
        <v>176</v>
      </c>
    </row>
    <row r="41" spans="3:7" x14ac:dyDescent="0.25">
      <c r="C41" s="20">
        <v>38</v>
      </c>
      <c r="D41" s="21" t="str">
        <f t="shared" si="0"/>
        <v>Joker</v>
      </c>
      <c r="E41" s="22" t="s">
        <v>106</v>
      </c>
      <c r="F41" s="22" t="s">
        <v>106</v>
      </c>
      <c r="G41" s="22" t="s">
        <v>177</v>
      </c>
    </row>
    <row r="42" spans="3:7" x14ac:dyDescent="0.25">
      <c r="C42" s="20">
        <v>39</v>
      </c>
      <c r="D42" s="21" t="str">
        <f t="shared" si="0"/>
        <v>Thema Joker</v>
      </c>
      <c r="E42" s="22" t="s">
        <v>107</v>
      </c>
      <c r="F42" s="22" t="s">
        <v>303</v>
      </c>
      <c r="G42" s="22" t="s">
        <v>178</v>
      </c>
    </row>
    <row r="43" spans="3:7" x14ac:dyDescent="0.25">
      <c r="C43" s="20">
        <v>40</v>
      </c>
      <c r="D43" s="21" t="str">
        <f t="shared" si="0"/>
        <v>Titel</v>
      </c>
      <c r="E43" s="22" t="s">
        <v>108</v>
      </c>
      <c r="F43" s="22" t="s">
        <v>304</v>
      </c>
      <c r="G43" s="22" t="s">
        <v>179</v>
      </c>
    </row>
    <row r="44" spans="3:7" x14ac:dyDescent="0.25">
      <c r="C44" s="20">
        <v>41</v>
      </c>
      <c r="D44" s="21" t="str">
        <f t="shared" si="0"/>
        <v>Beschreibung und Wirkung</v>
      </c>
      <c r="E44" s="22" t="s">
        <v>109</v>
      </c>
      <c r="F44" s="22" t="s">
        <v>305</v>
      </c>
      <c r="G44" s="22" t="s">
        <v>180</v>
      </c>
    </row>
    <row r="45" spans="3:7" x14ac:dyDescent="0.25">
      <c r="C45" s="20">
        <v>42</v>
      </c>
      <c r="D45" s="21" t="str">
        <f t="shared" si="0"/>
        <v>Nachweise / Beilagen</v>
      </c>
      <c r="E45" s="22" t="s">
        <v>110</v>
      </c>
      <c r="F45" s="22" t="s">
        <v>306</v>
      </c>
      <c r="G45" s="22" t="s">
        <v>251</v>
      </c>
    </row>
    <row r="46" spans="3:7" x14ac:dyDescent="0.25">
      <c r="C46" s="20">
        <v>43</v>
      </c>
      <c r="D46" s="21" t="str">
        <f t="shared" si="0"/>
        <v>B1.6, C2.5, D1.7 und E2.7 (Joker Wahlvorgaben)</v>
      </c>
      <c r="E46" s="22" t="s">
        <v>111</v>
      </c>
      <c r="F46" s="22" t="s">
        <v>307</v>
      </c>
      <c r="G46" s="22" t="s">
        <v>252</v>
      </c>
    </row>
    <row r="47" spans="3:7" x14ac:dyDescent="0.25">
      <c r="C47" s="20">
        <v>44</v>
      </c>
      <c r="D47" s="21" t="str">
        <f t="shared" si="0"/>
        <v>Angaben zur Massnahme</v>
      </c>
      <c r="E47" s="22" t="s">
        <v>112</v>
      </c>
      <c r="F47" s="22" t="s">
        <v>308</v>
      </c>
      <c r="G47" s="22" t="s">
        <v>150</v>
      </c>
    </row>
    <row r="48" spans="3:7" x14ac:dyDescent="0.25">
      <c r="C48" s="20">
        <v>45</v>
      </c>
      <c r="D48" s="21" t="str">
        <f t="shared" si="0"/>
        <v>Wohnen MFH</v>
      </c>
      <c r="E48" s="22" t="s">
        <v>48</v>
      </c>
      <c r="F48" s="22" t="s">
        <v>309</v>
      </c>
      <c r="G48" s="22" t="s">
        <v>181</v>
      </c>
    </row>
    <row r="49" spans="3:7" x14ac:dyDescent="0.25">
      <c r="C49" s="20">
        <v>46</v>
      </c>
      <c r="D49" s="21" t="str">
        <f t="shared" si="0"/>
        <v>Wohnen EFH</v>
      </c>
      <c r="E49" s="22" t="s">
        <v>49</v>
      </c>
      <c r="F49" s="22" t="s">
        <v>310</v>
      </c>
      <c r="G49" s="22" t="s">
        <v>182</v>
      </c>
    </row>
    <row r="50" spans="3:7" x14ac:dyDescent="0.25">
      <c r="C50" s="20">
        <v>47</v>
      </c>
      <c r="D50" s="21" t="str">
        <f t="shared" si="0"/>
        <v>Verwaltung</v>
      </c>
      <c r="E50" s="22" t="s">
        <v>50</v>
      </c>
      <c r="F50" s="22" t="s">
        <v>311</v>
      </c>
      <c r="G50" s="22" t="s">
        <v>183</v>
      </c>
    </row>
    <row r="51" spans="3:7" x14ac:dyDescent="0.25">
      <c r="C51" s="20">
        <v>48</v>
      </c>
      <c r="D51" s="21" t="str">
        <f t="shared" si="0"/>
        <v xml:space="preserve">Schulen </v>
      </c>
      <c r="E51" s="22" t="s">
        <v>51</v>
      </c>
      <c r="F51" s="22" t="s">
        <v>312</v>
      </c>
      <c r="G51" s="22" t="s">
        <v>184</v>
      </c>
    </row>
    <row r="52" spans="3:7" x14ac:dyDescent="0.25">
      <c r="C52" s="20">
        <v>49</v>
      </c>
      <c r="D52" s="21" t="str">
        <f t="shared" si="0"/>
        <v>Verkauf</v>
      </c>
      <c r="E52" s="22" t="s">
        <v>52</v>
      </c>
      <c r="F52" s="22" t="s">
        <v>313</v>
      </c>
      <c r="G52" s="22" t="s">
        <v>185</v>
      </c>
    </row>
    <row r="53" spans="3:7" x14ac:dyDescent="0.25">
      <c r="C53" s="20">
        <v>50</v>
      </c>
      <c r="D53" s="21" t="str">
        <f t="shared" si="0"/>
        <v>Restaurant</v>
      </c>
      <c r="E53" s="22" t="s">
        <v>53</v>
      </c>
      <c r="F53" s="22" t="s">
        <v>314</v>
      </c>
      <c r="G53" s="22" t="s">
        <v>186</v>
      </c>
    </row>
    <row r="54" spans="3:7" x14ac:dyDescent="0.25">
      <c r="C54" s="20">
        <v>51</v>
      </c>
      <c r="D54" s="21" t="str">
        <f t="shared" si="0"/>
        <v>Versammlung</v>
      </c>
      <c r="E54" s="22" t="s">
        <v>54</v>
      </c>
      <c r="F54" s="22" t="s">
        <v>315</v>
      </c>
      <c r="G54" s="22" t="s">
        <v>187</v>
      </c>
    </row>
    <row r="55" spans="3:7" x14ac:dyDescent="0.25">
      <c r="C55" s="20">
        <v>52</v>
      </c>
      <c r="D55" s="21" t="str">
        <f t="shared" si="0"/>
        <v>Spitäler</v>
      </c>
      <c r="E55" s="22" t="s">
        <v>55</v>
      </c>
      <c r="F55" s="22" t="s">
        <v>316</v>
      </c>
      <c r="G55" s="22" t="s">
        <v>188</v>
      </c>
    </row>
    <row r="56" spans="3:7" x14ac:dyDescent="0.25">
      <c r="C56" s="20">
        <v>53</v>
      </c>
      <c r="D56" s="21" t="str">
        <f t="shared" si="0"/>
        <v>Industrie</v>
      </c>
      <c r="E56" s="22" t="s">
        <v>56</v>
      </c>
      <c r="F56" s="22" t="s">
        <v>56</v>
      </c>
      <c r="G56" s="22" t="s">
        <v>56</v>
      </c>
    </row>
    <row r="57" spans="3:7" x14ac:dyDescent="0.25">
      <c r="C57" s="20">
        <v>54</v>
      </c>
      <c r="D57" s="21" t="str">
        <f t="shared" si="0"/>
        <v>Lager</v>
      </c>
      <c r="E57" s="22" t="s">
        <v>57</v>
      </c>
      <c r="F57" s="22" t="s">
        <v>317</v>
      </c>
      <c r="G57" s="22" t="s">
        <v>189</v>
      </c>
    </row>
    <row r="58" spans="3:7" x14ac:dyDescent="0.25">
      <c r="C58" s="20">
        <v>55</v>
      </c>
      <c r="D58" s="21" t="str">
        <f t="shared" si="0"/>
        <v>Sportbauten</v>
      </c>
      <c r="E58" s="22" t="s">
        <v>58</v>
      </c>
      <c r="F58" s="22" t="s">
        <v>318</v>
      </c>
      <c r="G58" s="22" t="s">
        <v>190</v>
      </c>
    </row>
    <row r="59" spans="3:7" x14ac:dyDescent="0.25">
      <c r="C59" s="20">
        <v>56</v>
      </c>
      <c r="D59" s="21" t="str">
        <f t="shared" si="0"/>
        <v>Hallenbäder</v>
      </c>
      <c r="E59" s="22" t="s">
        <v>59</v>
      </c>
      <c r="F59" s="22" t="s">
        <v>319</v>
      </c>
      <c r="G59" s="22" t="s">
        <v>191</v>
      </c>
    </row>
    <row r="60" spans="3:7" x14ac:dyDescent="0.25">
      <c r="C60" s="20">
        <v>57</v>
      </c>
      <c r="D60" s="21" t="str">
        <f t="shared" si="0"/>
        <v>Weitere</v>
      </c>
      <c r="E60" s="22" t="s">
        <v>60</v>
      </c>
      <c r="F60" s="22" t="s">
        <v>320</v>
      </c>
      <c r="G60" s="22" t="s">
        <v>192</v>
      </c>
    </row>
    <row r="61" spans="3:7" x14ac:dyDescent="0.25">
      <c r="C61" s="20">
        <v>58</v>
      </c>
      <c r="D61" s="21" t="str">
        <f t="shared" si="0"/>
        <v>Verkauf (Fachgeschäft)</v>
      </c>
      <c r="E61" s="22" t="s">
        <v>67</v>
      </c>
      <c r="F61" s="22" t="s">
        <v>321</v>
      </c>
      <c r="G61" s="22" t="s">
        <v>193</v>
      </c>
    </row>
    <row r="62" spans="3:7" x14ac:dyDescent="0.25">
      <c r="C62" s="20">
        <v>59</v>
      </c>
      <c r="D62" s="21" t="str">
        <f t="shared" si="0"/>
        <v>Verkauf (Lebensmittelgeschäft)</v>
      </c>
      <c r="E62" s="22" t="s">
        <v>68</v>
      </c>
      <c r="F62" s="22" t="s">
        <v>322</v>
      </c>
      <c r="G62" s="22" t="s">
        <v>194</v>
      </c>
    </row>
    <row r="63" spans="3:7" x14ac:dyDescent="0.25">
      <c r="C63" s="20">
        <v>60</v>
      </c>
      <c r="D63" s="21" t="str">
        <f t="shared" si="0"/>
        <v>Anzahl</v>
      </c>
      <c r="E63" s="22" t="s">
        <v>69</v>
      </c>
      <c r="F63" s="22" t="s">
        <v>323</v>
      </c>
      <c r="G63" s="22" t="s">
        <v>195</v>
      </c>
    </row>
    <row r="64" spans="3:7" x14ac:dyDescent="0.25">
      <c r="C64" s="20">
        <v>61</v>
      </c>
      <c r="D64" s="21" t="str">
        <f t="shared" si="0"/>
        <v>ja</v>
      </c>
      <c r="E64" s="22" t="s">
        <v>9</v>
      </c>
      <c r="F64" s="22" t="s">
        <v>324</v>
      </c>
      <c r="G64" s="22" t="s">
        <v>196</v>
      </c>
    </row>
    <row r="65" spans="3:7" x14ac:dyDescent="0.25">
      <c r="C65" s="20">
        <v>62</v>
      </c>
      <c r="D65" s="21" t="str">
        <f t="shared" si="0"/>
        <v>nein</v>
      </c>
      <c r="E65" s="22" t="s">
        <v>10</v>
      </c>
      <c r="F65" s="22" t="s">
        <v>325</v>
      </c>
      <c r="G65" s="22" t="s">
        <v>197</v>
      </c>
    </row>
    <row r="66" spans="3:7" x14ac:dyDescent="0.25">
      <c r="C66" s="20">
        <v>63</v>
      </c>
      <c r="D66" s="21" t="str">
        <f t="shared" si="0"/>
        <v>Anleitung</v>
      </c>
      <c r="E66" s="22" t="s">
        <v>77</v>
      </c>
      <c r="F66" s="22" t="s">
        <v>326</v>
      </c>
      <c r="G66" s="22" t="s">
        <v>198</v>
      </c>
    </row>
    <row r="67" spans="3:7" x14ac:dyDescent="0.25">
      <c r="C67" s="20">
        <v>64</v>
      </c>
      <c r="D67" s="21" t="str">
        <f t="shared" si="0"/>
        <v>Flächenmässig grösste Gebäudekategorie</v>
      </c>
      <c r="E67" s="22" t="s">
        <v>73</v>
      </c>
      <c r="F67" s="22" t="s">
        <v>327</v>
      </c>
      <c r="G67" s="22" t="s">
        <v>199</v>
      </c>
    </row>
    <row r="68" spans="3:7" x14ac:dyDescent="0.25">
      <c r="C68" s="20">
        <v>65</v>
      </c>
      <c r="D68" s="21" t="str">
        <f t="shared" ref="D68:D131" si="1">INDEX($E$4:$G$503,$C68,$A$1)</f>
        <v>EBF total der grössten Gebäudekategorie</v>
      </c>
      <c r="E68" s="22" t="s">
        <v>72</v>
      </c>
      <c r="F68" s="22" t="s">
        <v>328</v>
      </c>
      <c r="G68" s="22" t="s">
        <v>200</v>
      </c>
    </row>
    <row r="69" spans="3:7" x14ac:dyDescent="0.25">
      <c r="C69" s="20">
        <v>66</v>
      </c>
      <c r="D69" s="21" t="str">
        <f t="shared" si="1"/>
        <v>Flächenmässig zweitgrösste Gebäudekategorie</v>
      </c>
      <c r="E69" s="22" t="s">
        <v>74</v>
      </c>
      <c r="F69" s="22" t="s">
        <v>329</v>
      </c>
      <c r="G69" s="22" t="s">
        <v>201</v>
      </c>
    </row>
    <row r="70" spans="3:7" ht="23" x14ac:dyDescent="0.25">
      <c r="C70" s="20">
        <v>67</v>
      </c>
      <c r="D70" s="21" t="str">
        <f t="shared" si="1"/>
        <v>EBF total der zweitgrössten Gebäudekategorie</v>
      </c>
      <c r="E70" s="22" t="s">
        <v>71</v>
      </c>
      <c r="F70" s="22" t="s">
        <v>330</v>
      </c>
      <c r="G70" s="22" t="s">
        <v>202</v>
      </c>
    </row>
    <row r="71" spans="3:7" x14ac:dyDescent="0.25">
      <c r="C71" s="20">
        <v>68</v>
      </c>
      <c r="D71" s="21" t="str">
        <f t="shared" si="1"/>
        <v>EBF total</v>
      </c>
      <c r="E71" s="22" t="s">
        <v>113</v>
      </c>
      <c r="F71" s="22" t="s">
        <v>331</v>
      </c>
      <c r="G71" s="22" t="s">
        <v>203</v>
      </c>
    </row>
    <row r="72" spans="3:7" x14ac:dyDescent="0.25">
      <c r="C72" s="20">
        <v>69</v>
      </c>
      <c r="D72" s="21" t="str">
        <f t="shared" si="1"/>
        <v>EBF [m2]</v>
      </c>
      <c r="E72" s="22" t="s">
        <v>45</v>
      </c>
      <c r="F72" s="22" t="s">
        <v>332</v>
      </c>
      <c r="G72" s="22" t="s">
        <v>204</v>
      </c>
    </row>
    <row r="73" spans="3:7" x14ac:dyDescent="0.25">
      <c r="C73" s="20">
        <v>70</v>
      </c>
      <c r="D73" s="21" t="str">
        <f t="shared" si="1"/>
        <v>Einheit</v>
      </c>
      <c r="E73" s="22" t="s">
        <v>64</v>
      </c>
      <c r="F73" s="22" t="s">
        <v>333</v>
      </c>
      <c r="G73" s="22" t="s">
        <v>205</v>
      </c>
    </row>
    <row r="74" spans="3:7" x14ac:dyDescent="0.25">
      <c r="C74" s="20">
        <v>71</v>
      </c>
      <c r="D74" s="21" t="str">
        <f t="shared" si="1"/>
        <v>Bewohner</v>
      </c>
      <c r="E74" s="22" t="s">
        <v>62</v>
      </c>
      <c r="F74" s="22" t="s">
        <v>334</v>
      </c>
      <c r="G74" s="22" t="s">
        <v>206</v>
      </c>
    </row>
    <row r="75" spans="3:7" x14ac:dyDescent="0.25">
      <c r="C75" s="20">
        <v>72</v>
      </c>
      <c r="D75" s="21" t="str">
        <f t="shared" si="1"/>
        <v>Vollzeitäquivalent</v>
      </c>
      <c r="E75" s="22" t="s">
        <v>65</v>
      </c>
      <c r="F75" s="22" t="s">
        <v>335</v>
      </c>
      <c r="G75" s="22" t="s">
        <v>253</v>
      </c>
    </row>
    <row r="76" spans="3:7" x14ac:dyDescent="0.25">
      <c r="C76" s="20">
        <v>73</v>
      </c>
      <c r="D76" s="21" t="str">
        <f t="shared" si="1"/>
        <v>Schüler</v>
      </c>
      <c r="E76" s="22" t="s">
        <v>66</v>
      </c>
      <c r="F76" s="22" t="s">
        <v>336</v>
      </c>
      <c r="G76" s="22" t="s">
        <v>207</v>
      </c>
    </row>
    <row r="77" spans="3:7" x14ac:dyDescent="0.25">
      <c r="C77" s="20">
        <v>74</v>
      </c>
      <c r="D77" s="21">
        <f t="shared" si="1"/>
        <v>0</v>
      </c>
      <c r="G77" s="22"/>
    </row>
    <row r="78" spans="3:7" x14ac:dyDescent="0.25">
      <c r="C78" s="20">
        <v>75</v>
      </c>
      <c r="D78" s="21" t="str">
        <f t="shared" si="1"/>
        <v>Angaben zur Nutzungsdichte</v>
      </c>
      <c r="E78" s="22" t="s">
        <v>78</v>
      </c>
      <c r="F78" s="22" t="s">
        <v>337</v>
      </c>
      <c r="G78" s="22" t="s">
        <v>208</v>
      </c>
    </row>
    <row r="79" spans="3:7" x14ac:dyDescent="0.25">
      <c r="C79" s="20">
        <v>76</v>
      </c>
      <c r="D79" s="21" t="str">
        <f t="shared" si="1"/>
        <v>Resultate</v>
      </c>
      <c r="E79" s="22" t="s">
        <v>79</v>
      </c>
      <c r="F79" s="22" t="s">
        <v>338</v>
      </c>
      <c r="G79" s="22" t="s">
        <v>209</v>
      </c>
    </row>
    <row r="80" spans="3:7" x14ac:dyDescent="0.25">
      <c r="C80" s="20">
        <v>77</v>
      </c>
      <c r="D80" s="21" t="str">
        <f t="shared" si="1"/>
        <v>Angaben zu den Angeboten zur Verkehrsreduktion</v>
      </c>
      <c r="E80" s="22" t="s">
        <v>81</v>
      </c>
      <c r="F80" s="22" t="s">
        <v>339</v>
      </c>
      <c r="G80" s="22" t="s">
        <v>210</v>
      </c>
    </row>
    <row r="81" spans="3:7" x14ac:dyDescent="0.25">
      <c r="C81" s="20">
        <v>78</v>
      </c>
      <c r="D81" s="21" t="str">
        <f t="shared" si="1"/>
        <v>Beschreibung des Angebots</v>
      </c>
      <c r="E81" s="22" t="s">
        <v>43</v>
      </c>
      <c r="F81" s="22" t="s">
        <v>340</v>
      </c>
      <c r="G81" s="22" t="s">
        <v>211</v>
      </c>
    </row>
    <row r="82" spans="3:7" x14ac:dyDescent="0.25">
      <c r="C82" s="20">
        <v>79</v>
      </c>
      <c r="D82" s="21" t="str">
        <f t="shared" si="1"/>
        <v>Version</v>
      </c>
      <c r="E82" s="22" t="s">
        <v>80</v>
      </c>
      <c r="F82" s="22" t="s">
        <v>80</v>
      </c>
      <c r="G82" s="22" t="s">
        <v>212</v>
      </c>
    </row>
    <row r="83" spans="3:7" x14ac:dyDescent="0.25">
      <c r="C83" s="20">
        <v>80</v>
      </c>
      <c r="D83" s="21" t="str">
        <f t="shared" si="1"/>
        <v>Angaben zu den bidirektionalen Ladestationen</v>
      </c>
      <c r="E83" s="22" t="s">
        <v>82</v>
      </c>
      <c r="F83" s="22" t="s">
        <v>341</v>
      </c>
      <c r="G83" s="22" t="s">
        <v>213</v>
      </c>
    </row>
    <row r="84" spans="3:7" ht="23" x14ac:dyDescent="0.25">
      <c r="C84" s="20">
        <v>81</v>
      </c>
      <c r="D84" s="21" t="str">
        <f t="shared" si="1"/>
        <v xml:space="preserve">Anteil Parkplätze mit bidirektionalen Ladestationen </v>
      </c>
      <c r="E84" s="22" t="s">
        <v>27</v>
      </c>
      <c r="F84" s="22" t="s">
        <v>342</v>
      </c>
      <c r="G84" s="22" t="s">
        <v>254</v>
      </c>
    </row>
    <row r="85" spans="3:7" x14ac:dyDescent="0.25">
      <c r="C85" s="20">
        <v>82</v>
      </c>
      <c r="D85" s="21" t="str">
        <f t="shared" si="1"/>
        <v>Angaben zum Abtransport von Aushubmaterial</v>
      </c>
      <c r="E85" s="22" t="s">
        <v>83</v>
      </c>
      <c r="F85" s="22" t="s">
        <v>343</v>
      </c>
      <c r="G85" s="22" t="s">
        <v>214</v>
      </c>
    </row>
    <row r="86" spans="3:7" x14ac:dyDescent="0.25">
      <c r="C86" s="20">
        <v>83</v>
      </c>
      <c r="D86" s="21" t="str">
        <f t="shared" si="1"/>
        <v>Aushubmaterial total</v>
      </c>
      <c r="E86" s="22" t="s">
        <v>46</v>
      </c>
      <c r="F86" s="22" t="s">
        <v>344</v>
      </c>
      <c r="G86" s="22" t="s">
        <v>215</v>
      </c>
    </row>
    <row r="87" spans="3:7" x14ac:dyDescent="0.25">
      <c r="C87" s="20">
        <v>84</v>
      </c>
      <c r="D87" s="21" t="str">
        <f t="shared" si="1"/>
        <v>Aushubmaterial mit Abtransport</v>
      </c>
      <c r="E87" s="22" t="s">
        <v>47</v>
      </c>
      <c r="F87" s="22" t="s">
        <v>345</v>
      </c>
      <c r="G87" s="22" t="s">
        <v>255</v>
      </c>
    </row>
    <row r="88" spans="3:7" x14ac:dyDescent="0.25">
      <c r="C88" s="20">
        <v>85</v>
      </c>
      <c r="D88" s="21" t="str">
        <f t="shared" si="1"/>
        <v>Energiebezugsfläche Areal total</v>
      </c>
      <c r="E88" s="22" t="s">
        <v>84</v>
      </c>
      <c r="F88" s="22" t="s">
        <v>346</v>
      </c>
      <c r="G88" s="22" t="s">
        <v>256</v>
      </c>
    </row>
    <row r="89" spans="3:7" x14ac:dyDescent="0.25">
      <c r="C89" s="20">
        <v>86</v>
      </c>
      <c r="D89" s="21" t="str">
        <f t="shared" si="1"/>
        <v>Dachflächen im Areal total</v>
      </c>
      <c r="E89" s="22" t="s">
        <v>88</v>
      </c>
      <c r="F89" s="22" t="s">
        <v>347</v>
      </c>
      <c r="G89" s="22" t="s">
        <v>257</v>
      </c>
    </row>
    <row r="90" spans="3:7" ht="23" x14ac:dyDescent="0.25">
      <c r="C90" s="20">
        <v>87</v>
      </c>
      <c r="D90" s="21" t="str">
        <f t="shared" si="1"/>
        <v>Dachflächen, deren Regenwasser-Abfluss gespeichert und wieder genutzt wird</v>
      </c>
      <c r="E90" s="22" t="s">
        <v>86</v>
      </c>
      <c r="F90" s="22" t="s">
        <v>348</v>
      </c>
      <c r="G90" s="22" t="s">
        <v>216</v>
      </c>
    </row>
    <row r="91" spans="3:7" x14ac:dyDescent="0.25">
      <c r="C91" s="20">
        <v>88</v>
      </c>
      <c r="D91" s="21" t="str">
        <f t="shared" si="1"/>
        <v>Angaben zu Dachflächen</v>
      </c>
      <c r="E91" s="22" t="s">
        <v>85</v>
      </c>
      <c r="F91" s="22" t="s">
        <v>349</v>
      </c>
      <c r="G91" s="22" t="s">
        <v>217</v>
      </c>
    </row>
    <row r="92" spans="3:7" ht="23" x14ac:dyDescent="0.25">
      <c r="C92" s="20">
        <v>89</v>
      </c>
      <c r="D92" s="21" t="str">
        <f t="shared" si="1"/>
        <v>Anteil Dachflächen mit Regenwassernutzung</v>
      </c>
      <c r="E92" s="22" t="s">
        <v>87</v>
      </c>
      <c r="F92" s="22" t="s">
        <v>350</v>
      </c>
      <c r="G92" s="22" t="s">
        <v>218</v>
      </c>
    </row>
    <row r="93" spans="3:7" x14ac:dyDescent="0.25">
      <c r="C93" s="20">
        <v>90</v>
      </c>
      <c r="D93" s="21" t="str">
        <f t="shared" si="1"/>
        <v>Angaben zur Visualisierung</v>
      </c>
      <c r="E93" s="22" t="s">
        <v>89</v>
      </c>
      <c r="F93" s="22" t="s">
        <v>351</v>
      </c>
      <c r="G93" s="22" t="s">
        <v>219</v>
      </c>
    </row>
    <row r="94" spans="3:7" ht="23" x14ac:dyDescent="0.25">
      <c r="C94" s="20">
        <v>91</v>
      </c>
      <c r="D94" s="21" t="str">
        <f t="shared" si="1"/>
        <v>Energiebezugsfläche mit Wohnnutzung (Gebäudekategorien I + II) total</v>
      </c>
      <c r="E94" s="22" t="s">
        <v>92</v>
      </c>
      <c r="F94" s="22" t="s">
        <v>352</v>
      </c>
      <c r="G94" s="22" t="s">
        <v>258</v>
      </c>
    </row>
    <row r="95" spans="3:7" ht="23" x14ac:dyDescent="0.25">
      <c r="C95" s="20">
        <v>92</v>
      </c>
      <c r="D95" s="21" t="str">
        <f t="shared" si="1"/>
        <v>Energiebezugsfläche mit Wohnnutzung mit Visualisierung der Messgrössen</v>
      </c>
      <c r="E95" s="22" t="s">
        <v>90</v>
      </c>
      <c r="F95" s="22" t="s">
        <v>353</v>
      </c>
      <c r="G95" s="22" t="s">
        <v>259</v>
      </c>
    </row>
    <row r="96" spans="3:7" ht="23" x14ac:dyDescent="0.25">
      <c r="C96" s="20">
        <v>93</v>
      </c>
      <c r="D96" s="21" t="str">
        <f t="shared" si="1"/>
        <v>Anteil Wohnnutzung mit Visualisierung der Messgrössen</v>
      </c>
      <c r="E96" s="22" t="s">
        <v>91</v>
      </c>
      <c r="F96" s="22" t="s">
        <v>354</v>
      </c>
      <c r="G96" s="22" t="s">
        <v>220</v>
      </c>
    </row>
    <row r="97" spans="3:7" x14ac:dyDescent="0.25">
      <c r="C97" s="20">
        <v>94</v>
      </c>
      <c r="D97" s="21" t="str">
        <f t="shared" si="1"/>
        <v>Angaben zu Personenwagenabstellplätzen</v>
      </c>
      <c r="E97" s="22" t="s">
        <v>93</v>
      </c>
      <c r="F97" s="22" t="s">
        <v>355</v>
      </c>
      <c r="G97" s="22" t="s">
        <v>221</v>
      </c>
    </row>
    <row r="98" spans="3:7" x14ac:dyDescent="0.25">
      <c r="C98" s="20">
        <v>95</v>
      </c>
      <c r="D98" s="21">
        <f t="shared" si="1"/>
        <v>0</v>
      </c>
      <c r="G98" s="22"/>
    </row>
    <row r="99" spans="3:7" x14ac:dyDescent="0.25">
      <c r="C99" s="20">
        <v>96</v>
      </c>
      <c r="D99" s="21">
        <f t="shared" si="1"/>
        <v>0</v>
      </c>
      <c r="G99" s="22"/>
    </row>
    <row r="100" spans="3:7" x14ac:dyDescent="0.25">
      <c r="C100" s="20">
        <v>97</v>
      </c>
      <c r="D100" s="21">
        <f t="shared" si="1"/>
        <v>0</v>
      </c>
      <c r="G100" s="22"/>
    </row>
    <row r="101" spans="3:7" ht="46" x14ac:dyDescent="0.25">
      <c r="C101" s="20">
        <v>98</v>
      </c>
      <c r="D101" s="21" t="str">
        <f t="shared" si="1"/>
        <v>Dieses Hilfstool ist für die Berechnung in Wohnnutzungen und Verwaltung geeignet (Gebäudekategorien I - III). Andere Nutzungen müssen gemäss VSS-Norm 40 281 berechnet werden.</v>
      </c>
      <c r="E101" s="22" t="s">
        <v>98</v>
      </c>
      <c r="F101" s="22" t="s">
        <v>356</v>
      </c>
      <c r="G101" s="22" t="s">
        <v>260</v>
      </c>
    </row>
    <row r="102" spans="3:7" x14ac:dyDescent="0.25">
      <c r="C102" s="20">
        <v>99</v>
      </c>
      <c r="D102" s="21" t="str">
        <f t="shared" si="1"/>
        <v>Lage des Areals</v>
      </c>
      <c r="E102" s="22" t="s">
        <v>104</v>
      </c>
      <c r="F102" s="22" t="s">
        <v>357</v>
      </c>
      <c r="G102" s="22" t="s">
        <v>261</v>
      </c>
    </row>
    <row r="103" spans="3:7" x14ac:dyDescent="0.25">
      <c r="C103" s="20">
        <v>100</v>
      </c>
      <c r="D103" s="21" t="str">
        <f t="shared" si="1"/>
        <v>Anzahl Personenwagenabstellplätze</v>
      </c>
      <c r="E103" s="22" t="s">
        <v>103</v>
      </c>
      <c r="F103" s="22" t="s">
        <v>358</v>
      </c>
      <c r="G103" s="22" t="s">
        <v>262</v>
      </c>
    </row>
    <row r="104" spans="3:7" x14ac:dyDescent="0.25">
      <c r="C104" s="20">
        <v>101</v>
      </c>
      <c r="D104" s="21" t="str">
        <f t="shared" si="1"/>
        <v>Anzahl Wohnungen</v>
      </c>
      <c r="E104" s="22" t="s">
        <v>97</v>
      </c>
      <c r="F104" s="22" t="s">
        <v>359</v>
      </c>
      <c r="G104" s="22" t="s">
        <v>263</v>
      </c>
    </row>
    <row r="105" spans="3:7" x14ac:dyDescent="0.25">
      <c r="C105" s="20">
        <v>102</v>
      </c>
      <c r="D105" s="21" t="str">
        <f t="shared" si="1"/>
        <v>Bruttogeschossfläche Verwaltung</v>
      </c>
      <c r="E105" s="22" t="s">
        <v>115</v>
      </c>
      <c r="F105" s="22" t="s">
        <v>360</v>
      </c>
      <c r="G105" s="22" t="s">
        <v>222</v>
      </c>
    </row>
    <row r="106" spans="3:7" x14ac:dyDescent="0.25">
      <c r="C106" s="20">
        <v>103</v>
      </c>
      <c r="D106" s="21" t="str">
        <f t="shared" si="1"/>
        <v>Projektwert</v>
      </c>
      <c r="E106" s="22" t="s">
        <v>61</v>
      </c>
      <c r="F106" s="22" t="s">
        <v>361</v>
      </c>
      <c r="G106" s="22" t="s">
        <v>223</v>
      </c>
    </row>
    <row r="107" spans="3:7" x14ac:dyDescent="0.25">
      <c r="C107" s="20">
        <v>104</v>
      </c>
      <c r="D107" s="21" t="str">
        <f t="shared" si="1"/>
        <v>Vorgabe</v>
      </c>
      <c r="E107" s="22" t="s">
        <v>44</v>
      </c>
      <c r="F107" s="22" t="s">
        <v>362</v>
      </c>
      <c r="G107" s="22" t="s">
        <v>224</v>
      </c>
    </row>
    <row r="108" spans="3:7" x14ac:dyDescent="0.25">
      <c r="C108" s="20">
        <v>105</v>
      </c>
      <c r="D108" s="21" t="str">
        <f t="shared" si="1"/>
        <v>Erfüllt?</v>
      </c>
      <c r="E108" s="22" t="s">
        <v>70</v>
      </c>
      <c r="F108" s="22" t="s">
        <v>363</v>
      </c>
      <c r="G108" s="22" t="s">
        <v>225</v>
      </c>
    </row>
    <row r="109" spans="3:7" x14ac:dyDescent="0.25">
      <c r="C109" s="20">
        <v>106</v>
      </c>
      <c r="D109" s="21" t="str">
        <f t="shared" si="1"/>
        <v>Personenwagenabstellplätze für Wohnnutzung</v>
      </c>
      <c r="E109" s="22" t="s">
        <v>99</v>
      </c>
      <c r="F109" s="22" t="s">
        <v>364</v>
      </c>
      <c r="G109" s="22" t="s">
        <v>226</v>
      </c>
    </row>
    <row r="110" spans="3:7" x14ac:dyDescent="0.25">
      <c r="C110" s="20">
        <v>107</v>
      </c>
      <c r="D110" s="21" t="str">
        <f t="shared" si="1"/>
        <v>Personenwagenabstellplätze für Verwaltung</v>
      </c>
      <c r="E110" s="22" t="s">
        <v>100</v>
      </c>
      <c r="F110" s="22" t="s">
        <v>365</v>
      </c>
      <c r="G110" s="22" t="s">
        <v>227</v>
      </c>
    </row>
    <row r="111" spans="3:7" x14ac:dyDescent="0.25">
      <c r="C111" s="20">
        <v>108</v>
      </c>
      <c r="D111" s="21" t="str">
        <f t="shared" si="1"/>
        <v>PP/Wohnung</v>
      </c>
      <c r="E111" s="22" t="s">
        <v>101</v>
      </c>
      <c r="F111" s="22" t="s">
        <v>366</v>
      </c>
      <c r="G111" s="22" t="s">
        <v>264</v>
      </c>
    </row>
    <row r="112" spans="3:7" x14ac:dyDescent="0.25">
      <c r="C112" s="20">
        <v>109</v>
      </c>
      <c r="D112" s="21" t="str">
        <f t="shared" si="1"/>
        <v>PP/100m2 BGF</v>
      </c>
      <c r="E112" s="22" t="s">
        <v>102</v>
      </c>
      <c r="F112" s="22" t="s">
        <v>367</v>
      </c>
      <c r="G112" s="22" t="s">
        <v>265</v>
      </c>
    </row>
    <row r="113" spans="3:7" x14ac:dyDescent="0.25">
      <c r="C113" s="20">
        <v>110</v>
      </c>
      <c r="D113" s="21" t="str">
        <f t="shared" si="1"/>
        <v>Liste</v>
      </c>
      <c r="E113" s="22" t="s">
        <v>0</v>
      </c>
      <c r="F113" s="22" t="s">
        <v>0</v>
      </c>
      <c r="G113" s="22" t="s">
        <v>228</v>
      </c>
    </row>
    <row r="114" spans="3:7" x14ac:dyDescent="0.25">
      <c r="C114" s="20">
        <v>111</v>
      </c>
      <c r="D114" s="21" t="str">
        <f t="shared" si="1"/>
        <v>Baugrubenaushub / Umgebungsgestaltung</v>
      </c>
      <c r="E114" s="22" t="s">
        <v>145</v>
      </c>
      <c r="F114" s="22" t="s">
        <v>368</v>
      </c>
      <c r="G114" s="22" t="s">
        <v>369</v>
      </c>
    </row>
    <row r="115" spans="3:7" x14ac:dyDescent="0.25">
      <c r="C115" s="20">
        <v>112</v>
      </c>
      <c r="D115" s="21" t="str">
        <f t="shared" si="1"/>
        <v>Fassade</v>
      </c>
      <c r="E115" s="22" t="s">
        <v>124</v>
      </c>
      <c r="F115" s="22" t="s">
        <v>370</v>
      </c>
      <c r="G115" s="22" t="s">
        <v>229</v>
      </c>
    </row>
    <row r="116" spans="3:7" x14ac:dyDescent="0.25">
      <c r="C116" s="20">
        <v>113</v>
      </c>
      <c r="D116" s="21" t="str">
        <f t="shared" si="1"/>
        <v>Decke</v>
      </c>
      <c r="E116" s="22" t="s">
        <v>125</v>
      </c>
      <c r="F116" s="22" t="s">
        <v>371</v>
      </c>
      <c r="G116" s="22" t="s">
        <v>266</v>
      </c>
    </row>
    <row r="117" spans="3:7" x14ac:dyDescent="0.25">
      <c r="C117" s="20">
        <v>114</v>
      </c>
      <c r="D117" s="21" t="str">
        <f t="shared" si="1"/>
        <v>Innenwände</v>
      </c>
      <c r="E117" s="22" t="s">
        <v>126</v>
      </c>
      <c r="F117" s="22" t="s">
        <v>372</v>
      </c>
      <c r="G117" s="22" t="s">
        <v>230</v>
      </c>
    </row>
    <row r="118" spans="3:7" x14ac:dyDescent="0.25">
      <c r="C118" s="20">
        <v>115</v>
      </c>
      <c r="D118" s="21" t="str">
        <f t="shared" si="1"/>
        <v>Dach</v>
      </c>
      <c r="E118" s="22" t="s">
        <v>127</v>
      </c>
      <c r="F118" s="22" t="s">
        <v>373</v>
      </c>
      <c r="G118" s="22" t="s">
        <v>231</v>
      </c>
    </row>
    <row r="119" spans="3:7" x14ac:dyDescent="0.25">
      <c r="C119" s="20">
        <v>116</v>
      </c>
      <c r="D119" s="21" t="str">
        <f t="shared" si="1"/>
        <v>Bodenplatte / Fundament / Aussenwände unter Terrain</v>
      </c>
      <c r="E119" s="22" t="s">
        <v>128</v>
      </c>
      <c r="F119" s="22" t="s">
        <v>374</v>
      </c>
      <c r="G119" s="22" t="s">
        <v>232</v>
      </c>
    </row>
    <row r="120" spans="3:7" x14ac:dyDescent="0.25">
      <c r="C120" s="20">
        <v>117</v>
      </c>
      <c r="D120" s="21" t="str">
        <f t="shared" si="1"/>
        <v>Fenster und Türen</v>
      </c>
      <c r="E120" s="22" t="s">
        <v>129</v>
      </c>
      <c r="F120" s="22" t="s">
        <v>375</v>
      </c>
      <c r="G120" s="22" t="s">
        <v>233</v>
      </c>
    </row>
    <row r="121" spans="3:7" x14ac:dyDescent="0.25">
      <c r="C121" s="20">
        <v>118</v>
      </c>
      <c r="D121" s="21" t="str">
        <f t="shared" si="1"/>
        <v>Neubau</v>
      </c>
      <c r="E121" s="22" t="s">
        <v>119</v>
      </c>
      <c r="F121" s="22" t="s">
        <v>376</v>
      </c>
      <c r="G121" s="22" t="s">
        <v>234</v>
      </c>
    </row>
    <row r="122" spans="3:7" x14ac:dyDescent="0.25">
      <c r="C122" s="20">
        <v>119</v>
      </c>
      <c r="D122" s="21" t="str">
        <f t="shared" si="1"/>
        <v>Erneuerung</v>
      </c>
      <c r="E122" s="22" t="s">
        <v>120</v>
      </c>
      <c r="F122" s="22" t="s">
        <v>377</v>
      </c>
      <c r="G122" s="22" t="s">
        <v>378</v>
      </c>
    </row>
    <row r="123" spans="3:7" x14ac:dyDescent="0.25">
      <c r="C123" s="20">
        <v>120</v>
      </c>
      <c r="D123" s="21" t="str">
        <f t="shared" si="1"/>
        <v>Angaben zu Gebäuden mit Einsatz lokaler Ressourcen</v>
      </c>
      <c r="E123" s="22" t="s">
        <v>121</v>
      </c>
      <c r="F123" s="22" t="s">
        <v>379</v>
      </c>
      <c r="G123" s="22" t="s">
        <v>235</v>
      </c>
    </row>
    <row r="124" spans="3:7" x14ac:dyDescent="0.25">
      <c r="C124" s="20">
        <v>121</v>
      </c>
      <c r="D124" s="21" t="str">
        <f t="shared" si="1"/>
        <v>Anzahl Gebäude im Areal total</v>
      </c>
      <c r="E124" s="22" t="s">
        <v>130</v>
      </c>
      <c r="F124" s="22" t="s">
        <v>380</v>
      </c>
      <c r="G124" s="22" t="s">
        <v>267</v>
      </c>
    </row>
    <row r="125" spans="3:7" x14ac:dyDescent="0.25">
      <c r="C125" s="20">
        <v>122</v>
      </c>
      <c r="D125" s="21" t="str">
        <f t="shared" si="1"/>
        <v>Gebäudebezeichnung</v>
      </c>
      <c r="E125" s="22" t="s">
        <v>117</v>
      </c>
      <c r="F125" s="22" t="s">
        <v>381</v>
      </c>
      <c r="G125" s="22" t="s">
        <v>236</v>
      </c>
    </row>
    <row r="126" spans="3:7" x14ac:dyDescent="0.25">
      <c r="C126" s="20">
        <v>123</v>
      </c>
      <c r="D126" s="21" t="str">
        <f t="shared" si="1"/>
        <v>Art des Bauvorhabens</v>
      </c>
      <c r="E126" s="22" t="s">
        <v>116</v>
      </c>
      <c r="F126" s="22" t="s">
        <v>382</v>
      </c>
      <c r="G126" s="22" t="s">
        <v>268</v>
      </c>
    </row>
    <row r="127" spans="3:7" x14ac:dyDescent="0.25">
      <c r="C127" s="20">
        <v>124</v>
      </c>
      <c r="D127" s="21" t="str">
        <f t="shared" si="1"/>
        <v>Anzahl lokale Bauteilgruppen</v>
      </c>
      <c r="E127" s="22" t="s">
        <v>123</v>
      </c>
      <c r="F127" s="22" t="s">
        <v>383</v>
      </c>
      <c r="G127" s="22" t="s">
        <v>237</v>
      </c>
    </row>
    <row r="128" spans="3:7" x14ac:dyDescent="0.25">
      <c r="C128" s="20">
        <v>125</v>
      </c>
      <c r="D128" s="21" t="str">
        <f>INDEX($E$4:$G$503,$C128,$A$1)</f>
        <v>Anzahl Gebäude mit Einsatz lokaler Ressourcen</v>
      </c>
      <c r="E128" s="22" t="s">
        <v>122</v>
      </c>
      <c r="F128" s="22" t="s">
        <v>384</v>
      </c>
      <c r="G128" s="22" t="s">
        <v>238</v>
      </c>
    </row>
    <row r="129" spans="3:7" x14ac:dyDescent="0.25">
      <c r="C129" s="20">
        <v>126</v>
      </c>
      <c r="D129" s="21" t="str">
        <f t="shared" si="1"/>
        <v>Hauptschichten / -komponenten</v>
      </c>
      <c r="E129" s="22" t="s">
        <v>131</v>
      </c>
      <c r="F129" s="22" t="s">
        <v>385</v>
      </c>
      <c r="G129" s="22" t="s">
        <v>239</v>
      </c>
    </row>
    <row r="130" spans="3:7" ht="23" x14ac:dyDescent="0.25">
      <c r="C130" s="20">
        <v>127</v>
      </c>
      <c r="D130" s="21" t="str">
        <f t="shared" si="1"/>
        <v>Aufschüttung, Hinterfüllung, Einbau von zugeführtem Boden, Belag</v>
      </c>
      <c r="E130" s="22" t="s">
        <v>132</v>
      </c>
      <c r="F130" s="22" t="s">
        <v>386</v>
      </c>
      <c r="G130" s="22" t="s">
        <v>240</v>
      </c>
    </row>
    <row r="131" spans="3:7" ht="23" x14ac:dyDescent="0.25">
      <c r="C131" s="20">
        <v>128</v>
      </c>
      <c r="D131" s="21" t="str">
        <f t="shared" si="1"/>
        <v>Tragelement, Dämmung, Bekleidung aussen, Bekleidung innen</v>
      </c>
      <c r="E131" s="22" t="s">
        <v>133</v>
      </c>
      <c r="F131" s="22" t="s">
        <v>387</v>
      </c>
      <c r="G131" s="22" t="s">
        <v>241</v>
      </c>
    </row>
    <row r="132" spans="3:7" ht="23" x14ac:dyDescent="0.25">
      <c r="C132" s="20">
        <v>129</v>
      </c>
      <c r="D132" s="21" t="str">
        <f>INDEX($E$4:$G$503,$C132,$A$1)</f>
        <v>Tragelement, Bodenbelag inklusive Unterlagsboden, Deckenbekleidung</v>
      </c>
      <c r="E132" s="22" t="s">
        <v>134</v>
      </c>
      <c r="F132" s="22" t="s">
        <v>388</v>
      </c>
      <c r="G132" s="22" t="s">
        <v>242</v>
      </c>
    </row>
    <row r="133" spans="3:7" x14ac:dyDescent="0.25">
      <c r="C133" s="20">
        <v>130</v>
      </c>
      <c r="D133" s="21" t="str">
        <f t="shared" ref="D133:D178" si="2">INDEX($E$4:$G$503,$C133,$A$1)</f>
        <v>Tragelement, Wandbekleidung</v>
      </c>
      <c r="E133" s="22" t="s">
        <v>135</v>
      </c>
      <c r="F133" s="22" t="s">
        <v>389</v>
      </c>
      <c r="G133" s="22" t="s">
        <v>243</v>
      </c>
    </row>
    <row r="134" spans="3:7" ht="23" x14ac:dyDescent="0.25">
      <c r="C134" s="20">
        <v>131</v>
      </c>
      <c r="D134" s="21" t="str">
        <f t="shared" si="2"/>
        <v>Tragelement, Dämmung, Deckung / Schutzschicht und Abdichtung, Bekleidung innen</v>
      </c>
      <c r="E134" s="22" t="s">
        <v>136</v>
      </c>
      <c r="F134" s="22" t="s">
        <v>390</v>
      </c>
      <c r="G134" s="22" t="s">
        <v>244</v>
      </c>
    </row>
    <row r="135" spans="3:7" x14ac:dyDescent="0.25">
      <c r="C135" s="20">
        <v>132</v>
      </c>
      <c r="D135" s="21" t="str">
        <f t="shared" si="2"/>
        <v>Tragelement, Dämmung</v>
      </c>
      <c r="E135" s="22" t="s">
        <v>137</v>
      </c>
      <c r="F135" s="22" t="s">
        <v>391</v>
      </c>
      <c r="G135" s="22" t="s">
        <v>245</v>
      </c>
    </row>
    <row r="136" spans="3:7" x14ac:dyDescent="0.25">
      <c r="C136" s="20">
        <v>133</v>
      </c>
      <c r="D136" s="21" t="str">
        <f t="shared" si="2"/>
        <v>Rahmen, Türblatt</v>
      </c>
      <c r="E136" s="22" t="s">
        <v>138</v>
      </c>
      <c r="F136" s="22" t="s">
        <v>392</v>
      </c>
      <c r="G136" s="22" t="s">
        <v>246</v>
      </c>
    </row>
    <row r="137" spans="3:7" x14ac:dyDescent="0.25">
      <c r="C137" s="20">
        <v>134</v>
      </c>
      <c r="D137" s="21" t="str">
        <f t="shared" si="2"/>
        <v>Bauteilgruppen</v>
      </c>
      <c r="E137" s="22" t="s">
        <v>139</v>
      </c>
      <c r="F137" s="22" t="s">
        <v>393</v>
      </c>
      <c r="G137" s="22" t="s">
        <v>269</v>
      </c>
    </row>
    <row r="138" spans="3:7" ht="23" x14ac:dyDescent="0.25">
      <c r="C138" s="20">
        <v>135</v>
      </c>
      <c r="D138" s="21" t="str">
        <f t="shared" si="2"/>
        <v>Bitte ankreuzen, wenn mindestens eine der Hauptschicht / -komponente lokal ist</v>
      </c>
      <c r="E138" s="22" t="s">
        <v>140</v>
      </c>
      <c r="F138" s="22" t="s">
        <v>394</v>
      </c>
      <c r="G138" s="22" t="s">
        <v>270</v>
      </c>
    </row>
    <row r="139" spans="3:7" x14ac:dyDescent="0.25">
      <c r="C139" s="20">
        <v>136</v>
      </c>
      <c r="D139" s="21" t="str">
        <f t="shared" si="2"/>
        <v>Zentrum</v>
      </c>
      <c r="E139" s="22" t="s">
        <v>94</v>
      </c>
      <c r="F139" s="22" t="s">
        <v>399</v>
      </c>
      <c r="G139" s="9" t="s">
        <v>402</v>
      </c>
    </row>
    <row r="140" spans="3:7" x14ac:dyDescent="0.25">
      <c r="C140" s="20">
        <v>137</v>
      </c>
      <c r="D140" s="21" t="str">
        <f t="shared" si="2"/>
        <v>Agglomeration</v>
      </c>
      <c r="E140" s="22" t="s">
        <v>95</v>
      </c>
      <c r="F140" s="22" t="s">
        <v>400</v>
      </c>
      <c r="G140" s="9" t="s">
        <v>403</v>
      </c>
    </row>
    <row r="141" spans="3:7" x14ac:dyDescent="0.25">
      <c r="C141" s="20">
        <v>138</v>
      </c>
      <c r="D141" s="21" t="str">
        <f t="shared" si="2"/>
        <v>Land</v>
      </c>
      <c r="E141" s="22" t="s">
        <v>96</v>
      </c>
      <c r="F141" s="22" t="s">
        <v>401</v>
      </c>
      <c r="G141" s="9" t="s">
        <v>404</v>
      </c>
    </row>
    <row r="142" spans="3:7" x14ac:dyDescent="0.25">
      <c r="C142" s="20">
        <v>139</v>
      </c>
      <c r="D142" s="21" t="str">
        <f t="shared" si="2"/>
        <v>Bedienungshäufigkeit des öffentlichen Verkehrs</v>
      </c>
      <c r="E142" s="22" t="s">
        <v>405</v>
      </c>
      <c r="F142" s="22" t="s">
        <v>406</v>
      </c>
      <c r="G142" s="202" t="s">
        <v>407</v>
      </c>
    </row>
    <row r="143" spans="3:7" ht="23" x14ac:dyDescent="0.25">
      <c r="C143" s="20">
        <v>140</v>
      </c>
      <c r="D143" s="21" t="str">
        <f t="shared" si="2"/>
        <v>Anteil Langsamverkehr am gesamten erzeugten Personenverkehr</v>
      </c>
      <c r="E143" s="22" t="s">
        <v>408</v>
      </c>
      <c r="F143" s="22" t="s">
        <v>410</v>
      </c>
      <c r="G143" s="202" t="s">
        <v>409</v>
      </c>
    </row>
    <row r="144" spans="3:7" ht="12" x14ac:dyDescent="0.3">
      <c r="C144" s="20">
        <v>141</v>
      </c>
      <c r="D144" s="21" t="str">
        <f t="shared" si="2"/>
        <v>≥ 4-mal pro Stunde</v>
      </c>
      <c r="E144" s="22" t="s">
        <v>417</v>
      </c>
      <c r="F144" s="22" t="s">
        <v>418</v>
      </c>
      <c r="G144" s="202" t="s">
        <v>425</v>
      </c>
    </row>
    <row r="145" spans="3:7" ht="12" x14ac:dyDescent="0.3">
      <c r="C145" s="20">
        <v>142</v>
      </c>
      <c r="D145" s="21" t="str">
        <f t="shared" si="2"/>
        <v>1 - 4-mal pro Stunde</v>
      </c>
      <c r="E145" s="22" t="s">
        <v>419</v>
      </c>
      <c r="F145" s="22" t="s">
        <v>422</v>
      </c>
      <c r="G145" s="202" t="s">
        <v>423</v>
      </c>
    </row>
    <row r="146" spans="3:7" ht="12" x14ac:dyDescent="0.3">
      <c r="C146" s="20">
        <v>143</v>
      </c>
      <c r="D146" s="21" t="str">
        <f t="shared" si="2"/>
        <v>Nicht mit ÖV erschlossen</v>
      </c>
      <c r="E146" s="203" t="s">
        <v>420</v>
      </c>
      <c r="F146" s="203" t="s">
        <v>421</v>
      </c>
      <c r="G146" s="202" t="s">
        <v>424</v>
      </c>
    </row>
    <row r="147" spans="3:7" x14ac:dyDescent="0.25">
      <c r="C147" s="20">
        <v>144</v>
      </c>
      <c r="D147" s="21" t="str">
        <f t="shared" si="2"/>
        <v>Standort-Typ</v>
      </c>
      <c r="E147" s="22" t="s">
        <v>428</v>
      </c>
      <c r="F147" s="22" t="s">
        <v>429</v>
      </c>
      <c r="G147" s="202" t="s">
        <v>430</v>
      </c>
    </row>
    <row r="148" spans="3:7" x14ac:dyDescent="0.25">
      <c r="C148" s="20">
        <v>145</v>
      </c>
      <c r="D148" s="21" t="str">
        <f t="shared" si="2"/>
        <v>Minimum</v>
      </c>
      <c r="E148" s="22" t="s">
        <v>431</v>
      </c>
      <c r="F148" s="22" t="s">
        <v>431</v>
      </c>
      <c r="G148" s="202" t="s">
        <v>432</v>
      </c>
    </row>
    <row r="149" spans="3:7" x14ac:dyDescent="0.25">
      <c r="C149" s="20">
        <v>146</v>
      </c>
      <c r="D149" s="21">
        <f t="shared" si="2"/>
        <v>0</v>
      </c>
    </row>
    <row r="150" spans="3:7" x14ac:dyDescent="0.25">
      <c r="C150" s="20">
        <v>147</v>
      </c>
      <c r="D150" s="21">
        <f t="shared" si="2"/>
        <v>0</v>
      </c>
    </row>
    <row r="151" spans="3:7" x14ac:dyDescent="0.25">
      <c r="C151" s="20">
        <v>148</v>
      </c>
      <c r="D151" s="21">
        <f t="shared" si="2"/>
        <v>0</v>
      </c>
    </row>
    <row r="152" spans="3:7" x14ac:dyDescent="0.25">
      <c r="C152" s="20">
        <v>149</v>
      </c>
      <c r="D152" s="21">
        <f t="shared" si="2"/>
        <v>0</v>
      </c>
    </row>
    <row r="153" spans="3:7" x14ac:dyDescent="0.25">
      <c r="C153" s="20">
        <v>150</v>
      </c>
      <c r="D153" s="21">
        <f t="shared" si="2"/>
        <v>0</v>
      </c>
    </row>
    <row r="154" spans="3:7" x14ac:dyDescent="0.25">
      <c r="C154" s="20">
        <v>151</v>
      </c>
      <c r="D154" s="21">
        <f t="shared" si="2"/>
        <v>0</v>
      </c>
    </row>
    <row r="155" spans="3:7" x14ac:dyDescent="0.25">
      <c r="C155" s="20">
        <v>152</v>
      </c>
      <c r="D155" s="21">
        <f t="shared" si="2"/>
        <v>0</v>
      </c>
    </row>
    <row r="156" spans="3:7" x14ac:dyDescent="0.25">
      <c r="C156" s="20">
        <v>153</v>
      </c>
      <c r="D156" s="21">
        <f t="shared" si="2"/>
        <v>0</v>
      </c>
    </row>
    <row r="157" spans="3:7" x14ac:dyDescent="0.25">
      <c r="C157" s="20">
        <v>154</v>
      </c>
      <c r="D157" s="21">
        <f t="shared" si="2"/>
        <v>0</v>
      </c>
    </row>
    <row r="158" spans="3:7" x14ac:dyDescent="0.25">
      <c r="C158" s="20">
        <v>155</v>
      </c>
      <c r="D158" s="21">
        <f t="shared" si="2"/>
        <v>0</v>
      </c>
    </row>
    <row r="159" spans="3:7" x14ac:dyDescent="0.25">
      <c r="C159" s="20">
        <v>156</v>
      </c>
      <c r="D159" s="21">
        <f t="shared" si="2"/>
        <v>0</v>
      </c>
    </row>
    <row r="160" spans="3:7" x14ac:dyDescent="0.25">
      <c r="C160" s="20">
        <v>157</v>
      </c>
      <c r="D160" s="21">
        <f t="shared" si="2"/>
        <v>0</v>
      </c>
    </row>
    <row r="161" spans="3:4" x14ac:dyDescent="0.25">
      <c r="C161" s="20">
        <v>158</v>
      </c>
      <c r="D161" s="21">
        <f t="shared" si="2"/>
        <v>0</v>
      </c>
    </row>
    <row r="162" spans="3:4" x14ac:dyDescent="0.25">
      <c r="C162" s="20">
        <v>159</v>
      </c>
      <c r="D162" s="21">
        <f t="shared" si="2"/>
        <v>0</v>
      </c>
    </row>
    <row r="163" spans="3:4" x14ac:dyDescent="0.25">
      <c r="C163" s="20">
        <v>160</v>
      </c>
      <c r="D163" s="21">
        <f t="shared" si="2"/>
        <v>0</v>
      </c>
    </row>
    <row r="164" spans="3:4" x14ac:dyDescent="0.25">
      <c r="C164" s="20">
        <v>161</v>
      </c>
      <c r="D164" s="21">
        <f t="shared" si="2"/>
        <v>0</v>
      </c>
    </row>
    <row r="165" spans="3:4" x14ac:dyDescent="0.25">
      <c r="C165" s="20">
        <v>162</v>
      </c>
      <c r="D165" s="21">
        <f t="shared" si="2"/>
        <v>0</v>
      </c>
    </row>
    <row r="166" spans="3:4" x14ac:dyDescent="0.25">
      <c r="C166" s="20">
        <v>163</v>
      </c>
      <c r="D166" s="21">
        <f t="shared" si="2"/>
        <v>0</v>
      </c>
    </row>
    <row r="167" spans="3:4" x14ac:dyDescent="0.25">
      <c r="C167" s="20">
        <v>164</v>
      </c>
      <c r="D167" s="21">
        <f t="shared" si="2"/>
        <v>0</v>
      </c>
    </row>
    <row r="168" spans="3:4" x14ac:dyDescent="0.25">
      <c r="C168" s="20">
        <v>165</v>
      </c>
      <c r="D168" s="21">
        <f t="shared" si="2"/>
        <v>0</v>
      </c>
    </row>
    <row r="169" spans="3:4" x14ac:dyDescent="0.25">
      <c r="C169" s="20">
        <v>166</v>
      </c>
      <c r="D169" s="21">
        <f t="shared" si="2"/>
        <v>0</v>
      </c>
    </row>
    <row r="170" spans="3:4" x14ac:dyDescent="0.25">
      <c r="C170" s="20">
        <v>167</v>
      </c>
      <c r="D170" s="21">
        <f t="shared" si="2"/>
        <v>0</v>
      </c>
    </row>
    <row r="171" spans="3:4" x14ac:dyDescent="0.25">
      <c r="C171" s="20">
        <v>168</v>
      </c>
      <c r="D171" s="21">
        <f t="shared" si="2"/>
        <v>0</v>
      </c>
    </row>
    <row r="172" spans="3:4" x14ac:dyDescent="0.25">
      <c r="C172" s="20">
        <v>169</v>
      </c>
      <c r="D172" s="21">
        <f t="shared" si="2"/>
        <v>0</v>
      </c>
    </row>
    <row r="173" spans="3:4" x14ac:dyDescent="0.25">
      <c r="C173" s="20">
        <v>170</v>
      </c>
      <c r="D173" s="21">
        <f t="shared" si="2"/>
        <v>0</v>
      </c>
    </row>
    <row r="174" spans="3:4" x14ac:dyDescent="0.25">
      <c r="C174" s="20">
        <v>171</v>
      </c>
      <c r="D174" s="21">
        <f t="shared" si="2"/>
        <v>0</v>
      </c>
    </row>
    <row r="175" spans="3:4" x14ac:dyDescent="0.25">
      <c r="C175" s="20">
        <v>172</v>
      </c>
      <c r="D175" s="21">
        <f t="shared" si="2"/>
        <v>0</v>
      </c>
    </row>
    <row r="176" spans="3:4" x14ac:dyDescent="0.25">
      <c r="C176" s="20">
        <v>173</v>
      </c>
      <c r="D176" s="21">
        <f t="shared" si="2"/>
        <v>0</v>
      </c>
    </row>
    <row r="177" spans="3:4" x14ac:dyDescent="0.25">
      <c r="C177" s="20">
        <v>174</v>
      </c>
      <c r="D177" s="21">
        <f t="shared" si="2"/>
        <v>0</v>
      </c>
    </row>
    <row r="178" spans="3:4" x14ac:dyDescent="0.25">
      <c r="C178" s="20">
        <v>175</v>
      </c>
      <c r="D178" s="21">
        <f t="shared" si="2"/>
        <v>0</v>
      </c>
    </row>
  </sheetData>
  <sheetProtection algorithmName="SHA-512" hashValue="HRpu/c1tjODiI9TL04eU0+rRfejv6jiBu1Bl5Ptcdf4OhYvXLqrGnfooGBNOAeVUz6RhH/KHoKVYX7c6ahsGnQ==" saltValue="Z+WCWjYG0D2gC3h+8/b2Ow==" spinCount="100000" sheet="1" objects="1" scenarios="1"/>
  <dataValidations count="1">
    <dataValidation type="list" allowBlank="1" showInputMessage="1" showErrorMessage="1" sqref="C1" xr:uid="{4435D264-8080-444F-AD45-AFF946C81575}">
      <formula1>$H$1:$H$3</formula1>
    </dataValidation>
  </dataValidation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A02F3-9291-41F7-9539-60F8BD8EA488}">
  <sheetPr codeName="Tabelle2"/>
  <dimension ref="B1:AI15"/>
  <sheetViews>
    <sheetView showGridLines="0" zoomScaleNormal="100" zoomScalePageLayoutView="70" workbookViewId="0">
      <selection activeCell="D8" sqref="D8"/>
    </sheetView>
  </sheetViews>
  <sheetFormatPr baseColWidth="10" defaultColWidth="11.453125" defaultRowHeight="14" x14ac:dyDescent="0.3"/>
  <cols>
    <col min="1" max="1" width="2.1796875" style="29" customWidth="1"/>
    <col min="2" max="2" width="49.81640625" style="29" customWidth="1"/>
    <col min="3" max="3" width="7.1796875" style="29" customWidth="1"/>
    <col min="4" max="4" width="16.1796875" style="29" customWidth="1"/>
    <col min="5" max="5" width="4" style="29" customWidth="1"/>
    <col min="6" max="6" width="13" style="29" customWidth="1"/>
    <col min="7" max="7" width="15.7265625" style="29" customWidth="1"/>
    <col min="8" max="16384" width="11.453125" style="29"/>
  </cols>
  <sheetData>
    <row r="1" spans="2:35" s="9" customFormat="1" ht="54" customHeight="1" x14ac:dyDescent="0.25">
      <c r="B1" s="23"/>
      <c r="C1" s="219" t="str">
        <f>Uebersetzungen!D25</f>
        <v>B1.5 Visualisierung von Messgrössen für Nutzende</v>
      </c>
      <c r="D1" s="219"/>
      <c r="E1" s="166"/>
      <c r="F1" s="220" t="str">
        <f>Uebersetzungen!$D$11&amp;" "&amp;Uebersetzungen!$D$82&amp;" "&amp;Uebersetzungen!$C$2&amp;"."&amp;Uebersetzungen!$A$2</f>
        <v>Hilfstool Wahlvorgaben Version 2025.1</v>
      </c>
      <c r="G1" s="22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Eingabe</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Auswahlfeld</v>
      </c>
    </row>
    <row r="6" spans="2:35" x14ac:dyDescent="0.3">
      <c r="B6" s="48"/>
    </row>
    <row r="7" spans="2:35" s="30" customFormat="1" ht="24.75" customHeight="1" x14ac:dyDescent="0.3">
      <c r="B7" s="47" t="str">
        <f>Uebersetzungen!D93</f>
        <v>Angaben zur Visualisierung</v>
      </c>
    </row>
    <row r="8" spans="2:35" s="30" customFormat="1" ht="28" customHeight="1" x14ac:dyDescent="0.35">
      <c r="B8" s="79" t="str">
        <f>Uebersetzungen!D94</f>
        <v>Energiebezugsfläche mit Wohnnutzung (Gebäudekategorien I + II) total</v>
      </c>
      <c r="C8" s="157" t="s">
        <v>141</v>
      </c>
      <c r="D8" s="68"/>
      <c r="E8" s="186"/>
    </row>
    <row r="9" spans="2:35" s="63" customFormat="1" ht="28" customHeight="1" x14ac:dyDescent="0.35">
      <c r="B9" s="76" t="str">
        <f>Uebersetzungen!D95</f>
        <v>Energiebezugsfläche mit Wohnnutzung mit Visualisierung der Messgrössen</v>
      </c>
      <c r="C9" s="158" t="s">
        <v>141</v>
      </c>
      <c r="D9" s="69"/>
      <c r="E9" s="186"/>
      <c r="F9" s="65"/>
    </row>
    <row r="10" spans="2:35" ht="30" customHeight="1" x14ac:dyDescent="0.3">
      <c r="B10" s="47" t="str">
        <f>Uebersetzungen!D79</f>
        <v>Resultate</v>
      </c>
      <c r="C10" s="66"/>
      <c r="D10" s="66"/>
      <c r="E10" s="66"/>
      <c r="F10" s="66"/>
    </row>
    <row r="11" spans="2:35" ht="28" customHeight="1" x14ac:dyDescent="0.3">
      <c r="B11" s="80"/>
      <c r="C11" s="31"/>
      <c r="D11" s="178" t="str">
        <f>Uebersetzungen!$D$106</f>
        <v>Projektwert</v>
      </c>
      <c r="E11" s="225" t="str">
        <f>Uebersetzungen!$D$107</f>
        <v>Vorgabe</v>
      </c>
      <c r="F11" s="226"/>
      <c r="G11" s="179" t="str">
        <f>Uebersetzungen!$D$108</f>
        <v>Erfüllt?</v>
      </c>
    </row>
    <row r="12" spans="2:35" s="63" customFormat="1" ht="28" customHeight="1" x14ac:dyDescent="0.35">
      <c r="B12" s="76" t="str">
        <f>Uebersetzungen!D96</f>
        <v>Anteil Wohnnutzung mit Visualisierung der Messgrössen</v>
      </c>
      <c r="C12" s="81"/>
      <c r="D12" s="82" t="str">
        <f>IFERROR(D9/D8,"-")</f>
        <v>-</v>
      </c>
      <c r="E12" s="190" t="s">
        <v>398</v>
      </c>
      <c r="F12" s="189">
        <f>1/3</f>
        <v>0.33333333333333331</v>
      </c>
      <c r="G12" s="124" t="str">
        <f>IF(D12="-","-",IF(D12&gt;=F12,Uebersetzungen!$D$64,Uebersetzungen!$D$65))</f>
        <v>-</v>
      </c>
    </row>
    <row r="15" spans="2:35" x14ac:dyDescent="0.3">
      <c r="B15" s="30"/>
      <c r="C15" s="30"/>
      <c r="D15" s="30"/>
      <c r="E15" s="30"/>
    </row>
  </sheetData>
  <sheetProtection algorithmName="SHA-512" hashValue="Zbsoj2jCUx8Hv7fsaPywUimbk7sd7kHD7dEwDazpPUgzTWowU1IGHwmwlfWjGPWS3Z0SNqn0kWXtmQt4gca9+Q==" saltValue="g9uktk6SmnyU7f5w19Ad6w==" spinCount="100000" sheet="1" objects="1" scenarios="1" selectLockedCells="1"/>
  <mergeCells count="3">
    <mergeCell ref="C1:D1"/>
    <mergeCell ref="F1:G1"/>
    <mergeCell ref="E11:F11"/>
  </mergeCell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E9B1DCC3-1681-4C14-99F6-CEFF3A3709E7}">
            <xm:f>Uebersetzungen!$D$65</xm:f>
            <x14:dxf>
              <font>
                <color rgb="FFFF0000"/>
              </font>
              <fill>
                <patternFill>
                  <bgColor rgb="FFFFB7B7"/>
                </patternFill>
              </fill>
            </x14:dxf>
          </x14:cfRule>
          <x14:cfRule type="cellIs" priority="2" operator="equal" id="{43BE2470-36BA-4F06-8DC8-67737BA7B4B4}">
            <xm:f>Uebersetzungen!$D$64</xm:f>
            <x14:dxf>
              <font>
                <b/>
                <i val="0"/>
                <color rgb="FF00B050"/>
              </font>
              <fill>
                <patternFill>
                  <bgColor rgb="FF8CF866"/>
                </patternFill>
              </fill>
            </x14:dxf>
          </x14:cfRule>
          <xm:sqref>G12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D1B73-6122-4407-A0D3-55F94560C71A}">
  <sheetPr codeName="Tabelle12">
    <pageSetUpPr fitToPage="1"/>
  </sheetPr>
  <dimension ref="B1:M27"/>
  <sheetViews>
    <sheetView showGridLines="0" zoomScaleNormal="100" zoomScalePageLayoutView="70" workbookViewId="0">
      <selection activeCell="D8" sqref="D8"/>
    </sheetView>
  </sheetViews>
  <sheetFormatPr baseColWidth="10" defaultColWidth="23.7265625" defaultRowHeight="14" x14ac:dyDescent="0.3"/>
  <cols>
    <col min="1" max="1" width="2.1796875" style="29" customWidth="1"/>
    <col min="2" max="2" width="37.54296875" style="29" customWidth="1"/>
    <col min="3" max="3" width="49.81640625" style="29" customWidth="1"/>
    <col min="4" max="16384" width="23.7265625" style="29"/>
  </cols>
  <sheetData>
    <row r="1" spans="2:13" s="9" customFormat="1" ht="54" customHeight="1" x14ac:dyDescent="0.25">
      <c r="B1" s="23"/>
      <c r="C1" s="149" t="str">
        <f>Uebersetzungen!D28</f>
        <v>C2.2 Einsatz lokaler Ressourcen</v>
      </c>
      <c r="D1" s="162"/>
      <c r="E1" s="147"/>
      <c r="F1" s="147"/>
      <c r="G1" s="148"/>
      <c r="H1" s="148"/>
      <c r="I1" s="148"/>
      <c r="J1" s="148"/>
      <c r="K1" s="148"/>
      <c r="L1" s="220" t="str">
        <f>Uebersetzungen!$D$11&amp;" "&amp;Uebersetzungen!$D$82&amp;" "&amp;Uebersetzungen!$C$2&amp;"."&amp;Uebersetzungen!$A$2</f>
        <v>Hilfstool Wahlvorgaben Version 2025.1</v>
      </c>
      <c r="M1" s="221"/>
    </row>
    <row r="2" spans="2:13" s="9" customFormat="1" ht="16.149999999999999" customHeight="1" x14ac:dyDescent="0.25">
      <c r="B2" s="26"/>
      <c r="C2" s="26"/>
      <c r="D2" s="27"/>
      <c r="E2" s="28"/>
      <c r="F2" s="28"/>
      <c r="G2" s="20"/>
      <c r="H2" s="20"/>
      <c r="I2" s="20"/>
      <c r="J2" s="20"/>
      <c r="K2" s="20"/>
      <c r="L2" s="20"/>
      <c r="M2" s="20"/>
    </row>
    <row r="3" spans="2:13" s="45" customFormat="1" ht="15" customHeight="1" x14ac:dyDescent="0.3">
      <c r="B3" s="33" t="str">
        <f>Uebersetzungen!D15</f>
        <v>Eingabe</v>
      </c>
      <c r="C3" s="48"/>
      <c r="D3" s="34"/>
      <c r="F3" s="29"/>
      <c r="G3" s="36"/>
      <c r="H3" s="37"/>
      <c r="I3" s="38"/>
      <c r="J3" s="36"/>
      <c r="K3" s="39"/>
      <c r="L3" s="39"/>
      <c r="M3" s="39"/>
    </row>
    <row r="4" spans="2:13" s="38" customFormat="1" ht="6" customHeight="1" x14ac:dyDescent="0.3">
      <c r="B4" s="48"/>
      <c r="C4" s="48"/>
      <c r="D4" s="34"/>
      <c r="E4" s="48"/>
      <c r="F4" s="29"/>
      <c r="G4" s="36"/>
      <c r="H4" s="37"/>
      <c r="J4" s="36"/>
      <c r="K4" s="37"/>
      <c r="L4" s="37"/>
      <c r="M4" s="37"/>
    </row>
    <row r="5" spans="2:13" ht="15" customHeight="1" x14ac:dyDescent="0.3">
      <c r="B5" s="35" t="str">
        <f>Uebersetzungen!D20</f>
        <v>Auswahlfeld</v>
      </c>
      <c r="C5" s="48"/>
    </row>
    <row r="6" spans="2:13" x14ac:dyDescent="0.3">
      <c r="B6" s="48"/>
      <c r="C6" s="48"/>
    </row>
    <row r="7" spans="2:13" s="30" customFormat="1" ht="24.75" customHeight="1" x14ac:dyDescent="0.3">
      <c r="B7" s="47"/>
      <c r="C7" s="47"/>
    </row>
    <row r="8" spans="2:13" s="30" customFormat="1" ht="19.5" customHeight="1" x14ac:dyDescent="0.35">
      <c r="B8" s="85" t="str">
        <f>Uebersetzungen!D124</f>
        <v>Anzahl Gebäude im Areal total</v>
      </c>
      <c r="C8" s="156"/>
      <c r="D8" s="152"/>
    </row>
    <row r="9" spans="2:13" ht="38.25" customHeight="1" x14ac:dyDescent="0.3">
      <c r="B9" s="47"/>
      <c r="C9" s="47"/>
      <c r="D9" s="66"/>
      <c r="E9" s="66"/>
    </row>
    <row r="10" spans="2:13" x14ac:dyDescent="0.3">
      <c r="B10" s="128" t="str">
        <f>Uebersetzungen!D123</f>
        <v>Angaben zu Gebäuden mit Einsatz lokaler Ressourcen</v>
      </c>
      <c r="C10" s="128"/>
      <c r="D10" s="132"/>
      <c r="E10" s="132"/>
      <c r="F10" s="132"/>
      <c r="G10" s="132"/>
      <c r="H10" s="132"/>
      <c r="I10" s="132"/>
      <c r="J10" s="132"/>
      <c r="K10" s="132"/>
      <c r="L10" s="132"/>
      <c r="M10" s="132"/>
    </row>
    <row r="11" spans="2:13" s="63" customFormat="1" ht="28" customHeight="1" x14ac:dyDescent="0.35">
      <c r="B11" s="130" t="str">
        <f>Uebersetzungen!D125</f>
        <v>Gebäudebezeichnung</v>
      </c>
      <c r="C11" s="157"/>
      <c r="D11" s="129"/>
      <c r="E11" s="129"/>
      <c r="F11" s="129"/>
      <c r="G11" s="129"/>
      <c r="H11" s="129"/>
      <c r="I11" s="129"/>
      <c r="J11" s="129"/>
      <c r="K11" s="129"/>
      <c r="L11" s="129"/>
      <c r="M11" s="131"/>
    </row>
    <row r="12" spans="2:13" ht="28" customHeight="1" x14ac:dyDescent="0.3">
      <c r="B12" s="138" t="str">
        <f>Uebersetzungen!D126</f>
        <v>Art des Bauvorhabens</v>
      </c>
      <c r="C12" s="158"/>
      <c r="D12" s="150"/>
      <c r="E12" s="150"/>
      <c r="F12" s="150"/>
      <c r="G12" s="150"/>
      <c r="H12" s="150"/>
      <c r="I12" s="150"/>
      <c r="J12" s="150"/>
      <c r="K12" s="150"/>
      <c r="L12" s="150"/>
      <c r="M12" s="151"/>
    </row>
    <row r="13" spans="2:13" ht="33.75" customHeight="1" x14ac:dyDescent="0.3">
      <c r="B13" s="128" t="str">
        <f>Uebersetzungen!D137</f>
        <v>Bauteilgruppen</v>
      </c>
      <c r="C13" s="128" t="str">
        <f>Uebersetzungen!D129</f>
        <v>Hauptschichten / -komponenten</v>
      </c>
      <c r="D13" s="164" t="str">
        <f>Uebersetzungen!D138</f>
        <v>Bitte ankreuzen, wenn mindestens eine der Hauptschicht / -komponente lokal ist</v>
      </c>
      <c r="E13" s="163"/>
      <c r="F13" s="163"/>
      <c r="G13" s="163"/>
      <c r="H13" s="163"/>
      <c r="I13" s="163"/>
      <c r="J13" s="163"/>
      <c r="K13" s="163"/>
      <c r="L13" s="163"/>
      <c r="M13" s="163"/>
    </row>
    <row r="14" spans="2:13" ht="28" customHeight="1" x14ac:dyDescent="0.3">
      <c r="B14" s="155" t="str">
        <f>Uebersetzungen!D114</f>
        <v>Baugrubenaushub / Umgebungsgestaltung</v>
      </c>
      <c r="C14" s="159" t="str">
        <f>Uebersetzungen!D130</f>
        <v>Aufschüttung, Hinterfüllung, Einbau von zugeführtem Boden, Belag</v>
      </c>
      <c r="D14" s="153"/>
      <c r="E14" s="153"/>
      <c r="F14" s="153"/>
      <c r="G14" s="153"/>
      <c r="H14" s="153"/>
      <c r="I14" s="153"/>
      <c r="J14" s="153"/>
      <c r="K14" s="153"/>
      <c r="L14" s="153"/>
      <c r="M14" s="154"/>
    </row>
    <row r="15" spans="2:13" ht="28" customHeight="1" x14ac:dyDescent="0.3">
      <c r="B15" s="137" t="str">
        <f>Uebersetzungen!D115</f>
        <v>Fassade</v>
      </c>
      <c r="C15" s="159" t="str">
        <f>Uebersetzungen!D131</f>
        <v>Tragelement, Dämmung, Bekleidung aussen, Bekleidung innen</v>
      </c>
      <c r="D15" s="145"/>
      <c r="E15" s="145"/>
      <c r="F15" s="145"/>
      <c r="G15" s="145"/>
      <c r="H15" s="145"/>
      <c r="I15" s="145"/>
      <c r="J15" s="145"/>
      <c r="K15" s="145"/>
      <c r="L15" s="145"/>
      <c r="M15" s="146"/>
    </row>
    <row r="16" spans="2:13" ht="28" customHeight="1" x14ac:dyDescent="0.3">
      <c r="B16" s="137" t="str">
        <f>Uebersetzungen!D116</f>
        <v>Decke</v>
      </c>
      <c r="C16" s="159" t="str">
        <f>Uebersetzungen!D132</f>
        <v>Tragelement, Bodenbelag inklusive Unterlagsboden, Deckenbekleidung</v>
      </c>
      <c r="D16" s="145"/>
      <c r="E16" s="145"/>
      <c r="F16" s="145"/>
      <c r="G16" s="145"/>
      <c r="H16" s="145"/>
      <c r="I16" s="145"/>
      <c r="J16" s="145"/>
      <c r="K16" s="145"/>
      <c r="L16" s="145"/>
      <c r="M16" s="146"/>
    </row>
    <row r="17" spans="2:13" ht="28" customHeight="1" x14ac:dyDescent="0.3">
      <c r="B17" s="137" t="str">
        <f>Uebersetzungen!D117</f>
        <v>Innenwände</v>
      </c>
      <c r="C17" s="159" t="str">
        <f>Uebersetzungen!D133</f>
        <v>Tragelement, Wandbekleidung</v>
      </c>
      <c r="D17" s="145"/>
      <c r="E17" s="145"/>
      <c r="F17" s="145"/>
      <c r="G17" s="145"/>
      <c r="H17" s="145"/>
      <c r="I17" s="145"/>
      <c r="J17" s="145"/>
      <c r="K17" s="145"/>
      <c r="L17" s="145"/>
      <c r="M17" s="146"/>
    </row>
    <row r="18" spans="2:13" ht="28" customHeight="1" x14ac:dyDescent="0.3">
      <c r="B18" s="137" t="str">
        <f>Uebersetzungen!D118</f>
        <v>Dach</v>
      </c>
      <c r="C18" s="159" t="str">
        <f>Uebersetzungen!D134</f>
        <v>Tragelement, Dämmung, Deckung / Schutzschicht und Abdichtung, Bekleidung innen</v>
      </c>
      <c r="D18" s="145"/>
      <c r="E18" s="145"/>
      <c r="F18" s="145"/>
      <c r="G18" s="145"/>
      <c r="H18" s="145"/>
      <c r="I18" s="145"/>
      <c r="J18" s="145"/>
      <c r="K18" s="145"/>
      <c r="L18" s="145"/>
      <c r="M18" s="146"/>
    </row>
    <row r="19" spans="2:13" ht="28" customHeight="1" x14ac:dyDescent="0.3">
      <c r="B19" s="137" t="str">
        <f>Uebersetzungen!D119</f>
        <v>Bodenplatte / Fundament / Aussenwände unter Terrain</v>
      </c>
      <c r="C19" s="159" t="str">
        <f>Uebersetzungen!D135</f>
        <v>Tragelement, Dämmung</v>
      </c>
      <c r="D19" s="145"/>
      <c r="E19" s="145"/>
      <c r="F19" s="145"/>
      <c r="G19" s="145"/>
      <c r="H19" s="145"/>
      <c r="I19" s="145"/>
      <c r="J19" s="145"/>
      <c r="K19" s="145"/>
      <c r="L19" s="145"/>
      <c r="M19" s="146"/>
    </row>
    <row r="20" spans="2:13" ht="28" customHeight="1" x14ac:dyDescent="0.3">
      <c r="B20" s="144" t="str">
        <f>Uebersetzungen!D120</f>
        <v>Fenster und Türen</v>
      </c>
      <c r="C20" s="159" t="str">
        <f>Uebersetzungen!D136</f>
        <v>Rahmen, Türblatt</v>
      </c>
      <c r="D20" s="150"/>
      <c r="E20" s="150"/>
      <c r="F20" s="150"/>
      <c r="G20" s="150"/>
      <c r="H20" s="150"/>
      <c r="I20" s="150"/>
      <c r="J20" s="150"/>
      <c r="K20" s="150"/>
      <c r="L20" s="150"/>
      <c r="M20" s="151"/>
    </row>
    <row r="21" spans="2:13" ht="28" customHeight="1" x14ac:dyDescent="0.3">
      <c r="B21" s="130" t="str">
        <f>Uebersetzungen!D127&amp;", "&amp;Uebersetzungen!D106</f>
        <v>Anzahl lokale Bauteilgruppen, Projektwert</v>
      </c>
      <c r="C21" s="157"/>
      <c r="D21" s="133">
        <f>COUNTA(D14:D20)</f>
        <v>0</v>
      </c>
      <c r="E21" s="133">
        <f t="shared" ref="E21:M21" si="0">COUNTA(E14:E20)</f>
        <v>0</v>
      </c>
      <c r="F21" s="133">
        <f t="shared" si="0"/>
        <v>0</v>
      </c>
      <c r="G21" s="133">
        <f t="shared" si="0"/>
        <v>0</v>
      </c>
      <c r="H21" s="133">
        <f t="shared" si="0"/>
        <v>0</v>
      </c>
      <c r="I21" s="133">
        <f t="shared" si="0"/>
        <v>0</v>
      </c>
      <c r="J21" s="133">
        <f t="shared" si="0"/>
        <v>0</v>
      </c>
      <c r="K21" s="133">
        <f t="shared" si="0"/>
        <v>0</v>
      </c>
      <c r="L21" s="133">
        <f t="shared" si="0"/>
        <v>0</v>
      </c>
      <c r="M21" s="134">
        <f t="shared" si="0"/>
        <v>0</v>
      </c>
    </row>
    <row r="22" spans="2:13" ht="28" customHeight="1" x14ac:dyDescent="0.3">
      <c r="B22" s="138" t="str">
        <f>Uebersetzungen!D127&amp;", "&amp;Uebersetzungen!D107</f>
        <v>Anzahl lokale Bauteilgruppen, Vorgabe</v>
      </c>
      <c r="C22" s="158"/>
      <c r="D22" s="135" t="str">
        <f>IF(D$12=Listen!$B$47,4,IF(D$12=Listen!$B$48,2,"-"))</f>
        <v>-</v>
      </c>
      <c r="E22" s="135" t="str">
        <f>IF(E$12=Listen!$B$47,4,IF(E$12=Listen!$B$48,2,"-"))</f>
        <v>-</v>
      </c>
      <c r="F22" s="135" t="str">
        <f>IF(F$12=Listen!$B$47,4,IF(F$12=Listen!$B$48,2,"-"))</f>
        <v>-</v>
      </c>
      <c r="G22" s="135" t="str">
        <f>IF(G$12=Listen!$B$47,4,IF(G$12=Listen!$B$48,2,"-"))</f>
        <v>-</v>
      </c>
      <c r="H22" s="135" t="str">
        <f>IF(H$12=Listen!$B$47,4,IF(H$12=Listen!$B$48,2,"-"))</f>
        <v>-</v>
      </c>
      <c r="I22" s="135" t="str">
        <f>IF(I$12=Listen!$B$47,4,IF(I$12=Listen!$B$48,2,"-"))</f>
        <v>-</v>
      </c>
      <c r="J22" s="135" t="str">
        <f>IF(J$12=Listen!$B$47,4,IF(J$12=Listen!$B$48,2,"-"))</f>
        <v>-</v>
      </c>
      <c r="K22" s="135" t="str">
        <f>IF(K$12=Listen!$B$47,4,IF(K$12=Listen!$B$48,2,"-"))</f>
        <v>-</v>
      </c>
      <c r="L22" s="135" t="str">
        <f>IF(L$12=Listen!$B$47,4,IF(L$12=Listen!$B$48,2,"-"))</f>
        <v>-</v>
      </c>
      <c r="M22" s="136" t="str">
        <f>IF(M$12=Listen!$B$47,4,IF(M$12=Listen!$B$48,2,"-"))</f>
        <v>-</v>
      </c>
    </row>
    <row r="23" spans="2:13" x14ac:dyDescent="0.3">
      <c r="D23" s="127"/>
      <c r="E23" s="127"/>
      <c r="F23" s="127"/>
      <c r="G23" s="127"/>
      <c r="H23" s="127"/>
      <c r="I23" s="127"/>
      <c r="J23" s="127"/>
      <c r="K23" s="127"/>
      <c r="L23" s="127"/>
      <c r="M23" s="127"/>
    </row>
    <row r="24" spans="2:13" ht="63" customHeight="1" x14ac:dyDescent="0.3">
      <c r="B24" s="47" t="str">
        <f>Uebersetzungen!D79</f>
        <v>Resultate</v>
      </c>
      <c r="C24" s="47"/>
      <c r="D24" s="66"/>
      <c r="E24" s="66"/>
    </row>
    <row r="25" spans="2:13" ht="28" customHeight="1" x14ac:dyDescent="0.3">
      <c r="B25" s="142"/>
      <c r="C25" s="160"/>
      <c r="D25" s="143" t="str">
        <f>Uebersetzungen!$D$106</f>
        <v>Projektwert</v>
      </c>
      <c r="E25" s="143" t="str">
        <f>Uebersetzungen!$D$107</f>
        <v>Vorgabe</v>
      </c>
      <c r="F25" s="200" t="str">
        <f>Uebersetzungen!$D$108</f>
        <v>Erfüllt?</v>
      </c>
    </row>
    <row r="26" spans="2:13" s="63" customFormat="1" ht="28" customHeight="1" x14ac:dyDescent="0.35">
      <c r="B26" s="227" t="str">
        <f>Uebersetzungen!D128</f>
        <v>Anzahl Gebäude mit Einsatz lokaler Ressourcen</v>
      </c>
      <c r="C26" s="228"/>
      <c r="D26" s="140">
        <f>COUNTA(D11:M11)</f>
        <v>0</v>
      </c>
      <c r="E26" s="140" t="str">
        <f>IF(ISBLANK($D$8),"-",ROUNDUP(D8/3,0))</f>
        <v>-</v>
      </c>
      <c r="F26" s="141" t="str">
        <f>IF(E26="-","-",IF(D26&gt;=E26,Uebersetzungen!$D$64,Uebersetzungen!$D$65))</f>
        <v>-</v>
      </c>
    </row>
    <row r="27" spans="2:13" s="63" customFormat="1" ht="28" customHeight="1" x14ac:dyDescent="0.35">
      <c r="B27" s="76" t="str">
        <f>Uebersetzungen!D127</f>
        <v>Anzahl lokale Bauteilgruppen</v>
      </c>
      <c r="C27" s="161"/>
      <c r="D27" s="139">
        <f>SUM(D21:M21)</f>
        <v>0</v>
      </c>
      <c r="E27" s="139" t="str">
        <f>IF(COUNTA(D12:M12)=0,"-",SUM(D22:M22))</f>
        <v>-</v>
      </c>
      <c r="F27" s="124" t="str">
        <f>IF(E27="-","-",IF(D27&gt;=E27,Uebersetzungen!$D$64,Uebersetzungen!$D$65))</f>
        <v>-</v>
      </c>
    </row>
  </sheetData>
  <sheetProtection algorithmName="SHA-512" hashValue="k5/OC57XY40ME+m5VoSUTNZMLe5uc9kegrxsKEDMJ0LCXXcmeUPVnhS5prZs/TNNo/+hZ0qoH+JqjaLQvUBl8g==" saltValue="VSjJk3Fu/R0i9XbhDFzL7A==" spinCount="100000" sheet="1" objects="1" scenarios="1" selectLockedCells="1"/>
  <mergeCells count="2">
    <mergeCell ref="L1:M1"/>
    <mergeCell ref="B26:C26"/>
  </mergeCells>
  <phoneticPr fontId="12" type="noConversion"/>
  <conditionalFormatting sqref="D12:M12 D14:M20">
    <cfRule type="expression" dxfId="10" priority="1">
      <formula>IF(COUNTA(D$11)&gt;0,1,0)</formula>
    </cfRule>
  </conditionalFormatting>
  <dataValidations count="2">
    <dataValidation type="list" allowBlank="1" showInputMessage="1" showErrorMessage="1" sqref="D14:M20" xr:uid="{C1C3D4B3-FDF9-4F45-BA2C-085B4C136180}">
      <formula1>LSTC22_3</formula1>
    </dataValidation>
    <dataValidation type="list" allowBlank="1" showInputMessage="1" showErrorMessage="1" sqref="D12:M12" xr:uid="{F85ECD6E-B906-4392-936B-6AF25DD5203C}">
      <formula1>LSTC22</formula1>
    </dataValidation>
  </dataValidations>
  <pageMargins left="0.70866141732283472" right="0.70866141732283472" top="0.78740157480314965" bottom="0.78740157480314965" header="0.31496062992125984" footer="0.31496062992125984"/>
  <pageSetup scale="37" orientation="landscape"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2" operator="equal" id="{9450CAD2-FA40-42D4-9736-00E0C57DF779}">
            <xm:f>Uebersetzungen!$D$65</xm:f>
            <x14:dxf>
              <font>
                <color rgb="FFFF0000"/>
              </font>
              <fill>
                <patternFill>
                  <bgColor rgb="FFFFB7B7"/>
                </patternFill>
              </fill>
            </x14:dxf>
          </x14:cfRule>
          <x14:cfRule type="cellIs" priority="3" operator="equal" id="{40165901-E4F5-4726-82A0-EEE51940D4C6}">
            <xm:f>Uebersetzungen!$D$64</xm:f>
            <x14:dxf>
              <font>
                <b/>
                <i val="0"/>
                <color rgb="FF00B050"/>
              </font>
              <fill>
                <patternFill>
                  <bgColor rgb="FF8CF866"/>
                </patternFill>
              </fill>
            </x14:dxf>
          </x14:cfRule>
          <xm:sqref>F26:F27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54749-9864-4855-BA26-3AA388D61A8A}">
  <sheetPr codeName="Tabelle3"/>
  <dimension ref="B1:AI12"/>
  <sheetViews>
    <sheetView showGridLines="0" zoomScaleNormal="100" zoomScalePageLayoutView="70" workbookViewId="0">
      <selection activeCell="D8" sqref="D8"/>
    </sheetView>
  </sheetViews>
  <sheetFormatPr baseColWidth="10" defaultColWidth="11.453125" defaultRowHeight="14" x14ac:dyDescent="0.3"/>
  <cols>
    <col min="1" max="1" width="2.1796875" style="29" customWidth="1"/>
    <col min="2" max="2" width="47" style="29" bestFit="1" customWidth="1"/>
    <col min="3" max="3" width="16.1796875" style="29" customWidth="1"/>
    <col min="4" max="4" width="15.81640625" style="29" customWidth="1"/>
    <col min="5" max="5" width="3.7265625" style="29" customWidth="1"/>
    <col min="6" max="6" width="12.453125" style="29" customWidth="1"/>
    <col min="7" max="7" width="15.81640625" style="29" customWidth="1"/>
    <col min="8" max="16384" width="11.453125" style="29"/>
  </cols>
  <sheetData>
    <row r="1" spans="2:35" s="9" customFormat="1" ht="54" customHeight="1" x14ac:dyDescent="0.25">
      <c r="B1" s="23"/>
      <c r="C1" s="219" t="str">
        <f>Uebersetzungen!D30</f>
        <v>C2.4 Wenig Erdbewegungen für Geländegestaltung</v>
      </c>
      <c r="D1" s="219"/>
      <c r="E1" s="166"/>
      <c r="F1" s="220" t="str">
        <f>Uebersetzungen!$D$11&amp;" "&amp;Uebersetzungen!$D$82&amp;" "&amp;Uebersetzungen!$C$2&amp;"."&amp;Uebersetzungen!$A$2</f>
        <v>Hilfstool Wahlvorgaben Version 2025.1</v>
      </c>
      <c r="G1" s="22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Eingabe</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Auswahlfeld</v>
      </c>
    </row>
    <row r="6" spans="2:35" x14ac:dyDescent="0.3">
      <c r="B6" s="48"/>
    </row>
    <row r="7" spans="2:35" s="30" customFormat="1" ht="24.75" customHeight="1" x14ac:dyDescent="0.3">
      <c r="B7" s="47" t="str">
        <f>Uebersetzungen!D85</f>
        <v>Angaben zum Abtransport von Aushubmaterial</v>
      </c>
    </row>
    <row r="8" spans="2:35" s="30" customFormat="1" ht="28" customHeight="1" x14ac:dyDescent="0.35">
      <c r="B8" s="79" t="str">
        <f>Uebersetzungen!D88</f>
        <v>Energiebezugsfläche Areal total</v>
      </c>
      <c r="C8" s="72" t="s">
        <v>141</v>
      </c>
      <c r="D8" s="68"/>
      <c r="E8" s="186"/>
    </row>
    <row r="9" spans="2:35" s="63" customFormat="1" ht="28" customHeight="1" x14ac:dyDescent="0.35">
      <c r="B9" s="76" t="str">
        <f>Uebersetzungen!D87</f>
        <v>Aushubmaterial mit Abtransport</v>
      </c>
      <c r="C9" s="73" t="s">
        <v>142</v>
      </c>
      <c r="D9" s="69"/>
      <c r="E9" s="186"/>
      <c r="F9" s="65"/>
    </row>
    <row r="10" spans="2:35" ht="63" customHeight="1" x14ac:dyDescent="0.3">
      <c r="B10" s="47" t="str">
        <f>Uebersetzungen!D79</f>
        <v>Resultate</v>
      </c>
      <c r="C10" s="66"/>
      <c r="D10" s="66"/>
      <c r="E10" s="66"/>
      <c r="F10" s="66"/>
    </row>
    <row r="11" spans="2:35" ht="28" customHeight="1" x14ac:dyDescent="0.3">
      <c r="B11" s="77"/>
      <c r="C11" s="74"/>
      <c r="D11" s="180" t="str">
        <f>Uebersetzungen!$D$106</f>
        <v>Projektwert</v>
      </c>
      <c r="E11" s="229" t="str">
        <f>Uebersetzungen!$D$107</f>
        <v>Vorgabe</v>
      </c>
      <c r="F11" s="230"/>
      <c r="G11" s="181" t="str">
        <f>Uebersetzungen!$D$108</f>
        <v>Erfüllt?</v>
      </c>
    </row>
    <row r="12" spans="2:35" s="63" customFormat="1" ht="28" customHeight="1" x14ac:dyDescent="0.35">
      <c r="B12" s="78" t="str">
        <f>B9</f>
        <v>Aushubmaterial mit Abtransport</v>
      </c>
      <c r="C12" s="75" t="s">
        <v>143</v>
      </c>
      <c r="D12" s="71" t="str">
        <f>IFERROR(D9/D8,"-")</f>
        <v>-</v>
      </c>
      <c r="E12" s="196" t="s">
        <v>144</v>
      </c>
      <c r="F12" s="188">
        <f>1*40%</f>
        <v>0.4</v>
      </c>
      <c r="G12" s="125" t="str">
        <f>IF(D12="-","-",IF(D12&lt;=F12,Uebersetzungen!$D$64,Uebersetzungen!$D$65))</f>
        <v>-</v>
      </c>
    </row>
  </sheetData>
  <sheetProtection algorithmName="SHA-512" hashValue="3ZtatOVLKCso6RVIE4cbutgzGeBQv8epU/XQX1JFwkJhJkLYHf0pTQI/00ZHfHBQ2/Ujabb11K692Io8259jPw==" saltValue="R2MTHdARpiBOPSYmNNbEdg==" spinCount="100000" sheet="1" objects="1" scenarios="1" selectLockedCells="1"/>
  <mergeCells count="3">
    <mergeCell ref="C1:D1"/>
    <mergeCell ref="F1:G1"/>
    <mergeCell ref="E11:F11"/>
  </mergeCells>
  <pageMargins left="0.7" right="0.7" top="0.78740157499999996" bottom="0.78740157499999996" header="0.3" footer="0.3"/>
  <pageSetup scale="72" orientation="portrait" r:id="rId1"/>
  <colBreaks count="1" manualBreakCount="1">
    <brk id="7"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ellIs" priority="1" operator="equal" id="{4DF8EC0D-E793-4EA0-909C-BDD7F8F02103}">
            <xm:f>Uebersetzungen!$D$65</xm:f>
            <x14:dxf>
              <font>
                <color rgb="FFFF0000"/>
              </font>
              <fill>
                <patternFill>
                  <bgColor rgb="FFFFB7B7"/>
                </patternFill>
              </fill>
            </x14:dxf>
          </x14:cfRule>
          <x14:cfRule type="cellIs" priority="2" operator="equal" id="{2BDBFDBF-A85D-4D7D-A021-30F4281BF9D1}">
            <xm:f>Uebersetzungen!$D$64</xm:f>
            <x14:dxf>
              <font>
                <b/>
                <i val="0"/>
                <color rgb="FF00B050"/>
              </font>
              <fill>
                <patternFill>
                  <bgColor rgb="FF8CF866"/>
                </patternFill>
              </fill>
            </x14:dxf>
          </x14:cfRule>
          <xm:sqref>G12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B7511-D801-4F25-A269-BBEC52AAE7EF}">
  <sheetPr codeName="Tabelle4"/>
  <dimension ref="B1:AI15"/>
  <sheetViews>
    <sheetView showGridLines="0" zoomScaleNormal="100" zoomScalePageLayoutView="70" workbookViewId="0">
      <selection activeCell="D8" sqref="D8"/>
    </sheetView>
  </sheetViews>
  <sheetFormatPr baseColWidth="10" defaultColWidth="11.453125" defaultRowHeight="14" x14ac:dyDescent="0.3"/>
  <cols>
    <col min="1" max="1" width="2.1796875" style="29" customWidth="1"/>
    <col min="2" max="2" width="45.453125" style="29" customWidth="1"/>
    <col min="3" max="3" width="7.1796875" style="29" customWidth="1"/>
    <col min="4" max="4" width="15" style="29" customWidth="1"/>
    <col min="5" max="5" width="3.81640625" style="29" customWidth="1"/>
    <col min="6" max="6" width="11.81640625" style="29" customWidth="1"/>
    <col min="7" max="7" width="17.26953125" style="29" customWidth="1"/>
    <col min="8" max="16384" width="11.453125" style="29"/>
  </cols>
  <sheetData>
    <row r="1" spans="2:35" s="9" customFormat="1" ht="54" customHeight="1" x14ac:dyDescent="0.25">
      <c r="B1" s="23"/>
      <c r="C1" s="219" t="str">
        <f>Uebersetzungen!D33</f>
        <v>D1.5 Regenwassernutzung</v>
      </c>
      <c r="D1" s="219"/>
      <c r="E1" s="166"/>
      <c r="F1" s="220" t="str">
        <f>Uebersetzungen!$D$11&amp;" "&amp;Uebersetzungen!$D$82&amp;" "&amp;Uebersetzungen!$C$2&amp;"."&amp;Uebersetzungen!$A$2</f>
        <v>Hilfstool Wahlvorgaben Version 2025.1</v>
      </c>
      <c r="G1" s="22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Eingabe</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Auswahlfeld</v>
      </c>
    </row>
    <row r="6" spans="2:35" x14ac:dyDescent="0.3">
      <c r="B6" s="48"/>
    </row>
    <row r="7" spans="2:35" s="30" customFormat="1" ht="24.75" customHeight="1" x14ac:dyDescent="0.3">
      <c r="B7" s="47" t="str">
        <f>Uebersetzungen!D91</f>
        <v>Angaben zu Dachflächen</v>
      </c>
    </row>
    <row r="8" spans="2:35" s="30" customFormat="1" ht="28" customHeight="1" x14ac:dyDescent="0.35">
      <c r="B8" s="79" t="str">
        <f>Uebersetzungen!D89</f>
        <v>Dachflächen im Areal total</v>
      </c>
      <c r="C8" s="72" t="s">
        <v>141</v>
      </c>
      <c r="D8" s="68"/>
      <c r="E8" s="186"/>
    </row>
    <row r="9" spans="2:35" s="63" customFormat="1" ht="28" customHeight="1" x14ac:dyDescent="0.35">
      <c r="B9" s="76" t="str">
        <f>Uebersetzungen!D90</f>
        <v>Dachflächen, deren Regenwasser-Abfluss gespeichert und wieder genutzt wird</v>
      </c>
      <c r="C9" s="73" t="s">
        <v>141</v>
      </c>
      <c r="D9" s="69"/>
      <c r="E9" s="186"/>
      <c r="F9" s="65"/>
    </row>
    <row r="10" spans="2:35" ht="63" customHeight="1" x14ac:dyDescent="0.3">
      <c r="B10" s="47" t="str">
        <f>Uebersetzungen!D79</f>
        <v>Resultate</v>
      </c>
      <c r="C10" s="66"/>
      <c r="D10" s="66"/>
      <c r="E10" s="66"/>
      <c r="F10" s="66"/>
    </row>
    <row r="11" spans="2:35" ht="28" customHeight="1" x14ac:dyDescent="0.3">
      <c r="B11" s="182"/>
      <c r="C11" s="183"/>
      <c r="D11" s="178" t="str">
        <f>Uebersetzungen!$D$106</f>
        <v>Projektwert</v>
      </c>
      <c r="E11" s="225" t="str">
        <f>Uebersetzungen!$D$107</f>
        <v>Vorgabe</v>
      </c>
      <c r="F11" s="226"/>
      <c r="G11" s="179" t="str">
        <f>Uebersetzungen!$D$108</f>
        <v>Erfüllt?</v>
      </c>
    </row>
    <row r="12" spans="2:35" s="63" customFormat="1" ht="28" customHeight="1" x14ac:dyDescent="0.35">
      <c r="B12" s="76" t="str">
        <f>Uebersetzungen!D92</f>
        <v>Anteil Dachflächen mit Regenwassernutzung</v>
      </c>
      <c r="C12" s="73"/>
      <c r="D12" s="67" t="str">
        <f>IFERROR(D9/D8,"-")</f>
        <v>-</v>
      </c>
      <c r="E12" s="197" t="s">
        <v>398</v>
      </c>
      <c r="F12" s="187">
        <v>0.2</v>
      </c>
      <c r="G12" s="124" t="str">
        <f>IF(D12="-","-",IF(D12&gt;=F12,Uebersetzungen!$D$64,Uebersetzungen!$D$65))</f>
        <v>-</v>
      </c>
    </row>
    <row r="15" spans="2:35" x14ac:dyDescent="0.3">
      <c r="B15" s="30"/>
      <c r="C15" s="30"/>
      <c r="D15" s="30"/>
      <c r="E15" s="30"/>
    </row>
  </sheetData>
  <sheetProtection algorithmName="SHA-512" hashValue="6vCwZh3v5M/GI++2g9miDbjUT2pmkE2zzXEfWm3uQKQcC/7I9xpZ9pQN6/Y76BVBHcABI7URPI2GZIudwAZu2g==" saltValue="HyRNHhUCiPfwiQxIK6iHVA==" spinCount="100000" sheet="1" objects="1" scenarios="1" selectLockedCells="1"/>
  <mergeCells count="3">
    <mergeCell ref="C1:D1"/>
    <mergeCell ref="F1:G1"/>
    <mergeCell ref="E11:F11"/>
  </mergeCell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94DD0102-C541-4C2F-928B-D08E2981203D}">
            <xm:f>Uebersetzungen!$D$65</xm:f>
            <x14:dxf>
              <font>
                <color rgb="FFFF0000"/>
              </font>
              <fill>
                <patternFill>
                  <bgColor rgb="FFFFB7B7"/>
                </patternFill>
              </fill>
            </x14:dxf>
          </x14:cfRule>
          <x14:cfRule type="cellIs" priority="2" operator="equal" id="{8F1AD438-22FA-4BF6-9A3C-E2D38B9E15F0}">
            <xm:f>Uebersetzungen!$D$64</xm:f>
            <x14:dxf>
              <font>
                <b/>
                <i val="0"/>
                <color rgb="FF00B050"/>
              </font>
              <fill>
                <patternFill>
                  <bgColor rgb="FF8CF866"/>
                </patternFill>
              </fill>
            </x14:dxf>
          </x14:cfRule>
          <xm:sqref>G12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29994-9B25-4F9E-9DB5-2BAB25E94345}">
  <sheetPr codeName="Tabelle5"/>
  <dimension ref="B1:AI22"/>
  <sheetViews>
    <sheetView showGridLines="0" zoomScaleNormal="100" zoomScalePageLayoutView="70" workbookViewId="0">
      <selection activeCell="D9" sqref="D9"/>
    </sheetView>
  </sheetViews>
  <sheetFormatPr baseColWidth="10" defaultColWidth="11.453125" defaultRowHeight="14" x14ac:dyDescent="0.3"/>
  <cols>
    <col min="1" max="1" width="2.1796875" style="29" customWidth="1"/>
    <col min="2" max="2" width="47" style="29" bestFit="1" customWidth="1"/>
    <col min="3" max="3" width="20.54296875" style="29" customWidth="1"/>
    <col min="4" max="4" width="23.1796875" style="29" customWidth="1"/>
    <col min="5" max="5" width="5.1796875" style="29" customWidth="1"/>
    <col min="6" max="6" width="14.1796875" style="29" customWidth="1"/>
    <col min="7" max="7" width="17.54296875" style="29" customWidth="1"/>
    <col min="8" max="8" width="0" style="29" hidden="1" customWidth="1"/>
    <col min="9" max="9" width="13" style="29" hidden="1" customWidth="1"/>
    <col min="10" max="11" width="11.453125" style="29" hidden="1" customWidth="1"/>
    <col min="12" max="12" width="0" style="29" hidden="1" customWidth="1"/>
    <col min="13" max="16384" width="11.453125" style="29"/>
  </cols>
  <sheetData>
    <row r="1" spans="2:35" s="9" customFormat="1" ht="54" customHeight="1" x14ac:dyDescent="0.25">
      <c r="B1" s="23"/>
      <c r="C1" s="219" t="str">
        <f>Uebersetzungen!D36</f>
        <v>E2.3 Minimum an Personenwagenabstellplätzen</v>
      </c>
      <c r="D1" s="219"/>
      <c r="E1" s="166"/>
      <c r="F1" s="220" t="str">
        <f>Uebersetzungen!$D$11&amp;" "&amp;Uebersetzungen!$D$82&amp;" "&amp;Uebersetzungen!$C$2&amp;"."&amp;Uebersetzungen!$A$2</f>
        <v>Hilfstool Wahlvorgaben Version 2025.1</v>
      </c>
      <c r="G1" s="22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Eingabe</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Auswahlfeld</v>
      </c>
    </row>
    <row r="6" spans="2:35" x14ac:dyDescent="0.3">
      <c r="B6" s="32"/>
    </row>
    <row r="7" spans="2:35" s="30" customFormat="1" ht="35.65" customHeight="1" x14ac:dyDescent="0.35">
      <c r="B7" s="231" t="str">
        <f>Uebersetzungen!D101</f>
        <v>Dieses Hilfstool ist für die Berechnung in Wohnnutzungen und Verwaltung geeignet (Gebäudekategorien I - III). Andere Nutzungen müssen gemäss VSS-Norm 40 281 berechnet werden.</v>
      </c>
      <c r="C7" s="231"/>
      <c r="D7" s="231"/>
      <c r="E7" s="231"/>
      <c r="F7" s="231"/>
      <c r="G7" s="231"/>
    </row>
    <row r="8" spans="2:35" s="30" customFormat="1" ht="24.75" customHeight="1" x14ac:dyDescent="0.3">
      <c r="B8" s="46" t="str">
        <f>Uebersetzungen!D97</f>
        <v>Angaben zu Personenwagenabstellplätzen</v>
      </c>
    </row>
    <row r="9" spans="2:35" s="52" customFormat="1" ht="28" customHeight="1" x14ac:dyDescent="0.35">
      <c r="B9" s="85" t="str">
        <f>Uebersetzungen!D103</f>
        <v>Anzahl Personenwagenabstellplätze</v>
      </c>
      <c r="C9" s="75"/>
      <c r="D9" s="201"/>
      <c r="E9" s="30"/>
    </row>
    <row r="10" spans="2:35" s="30" customFormat="1" ht="24.75" customHeight="1" x14ac:dyDescent="0.3">
      <c r="B10" s="46" t="str">
        <f>Uebersetzungen!D48&amp;" &amp; "&amp;Uebersetzungen!D49</f>
        <v>Wohnen MFH &amp; Wohnen EFH</v>
      </c>
    </row>
    <row r="11" spans="2:35" s="63" customFormat="1" ht="28" customHeight="1" x14ac:dyDescent="0.35">
      <c r="B11" s="79" t="str">
        <f>Uebersetzungen!D102</f>
        <v>Lage des Areals</v>
      </c>
      <c r="C11" s="72"/>
      <c r="D11" s="97"/>
      <c r="E11" s="30"/>
      <c r="F11" s="167"/>
    </row>
    <row r="12" spans="2:35" s="52" customFormat="1" ht="28" customHeight="1" x14ac:dyDescent="0.35">
      <c r="B12" s="76" t="str">
        <f>Uebersetzungen!D104</f>
        <v>Anzahl Wohnungen</v>
      </c>
      <c r="C12" s="81"/>
      <c r="D12" s="218"/>
      <c r="E12" s="30"/>
    </row>
    <row r="13" spans="2:35" s="30" customFormat="1" ht="24.75" customHeight="1" x14ac:dyDescent="0.3">
      <c r="B13" s="46" t="str">
        <f>Uebersetzungen!D50</f>
        <v>Verwaltung</v>
      </c>
    </row>
    <row r="14" spans="2:35" s="52" customFormat="1" ht="27.75" customHeight="1" x14ac:dyDescent="0.35">
      <c r="B14" s="227" t="str">
        <f>Uebersetzungen!D142</f>
        <v>Bedienungshäufigkeit des öffentlichen Verkehrs</v>
      </c>
      <c r="C14" s="228"/>
      <c r="D14" s="216"/>
      <c r="E14" s="232" t="str">
        <f>Uebersetzungen!D147</f>
        <v>Standort-Typ</v>
      </c>
      <c r="F14" s="233"/>
    </row>
    <row r="15" spans="2:35" s="52" customFormat="1" ht="27.75" customHeight="1" x14ac:dyDescent="0.35">
      <c r="B15" s="236" t="str">
        <f>Uebersetzungen!D143</f>
        <v>Anteil Langsamverkehr am gesamten erzeugten Personenverkehr</v>
      </c>
      <c r="C15" s="237"/>
      <c r="D15" s="217"/>
      <c r="E15" s="234" t="str">
        <f>IFERROR(VLOOKUP($D$15,Listen!$A$27:$D$30,MATCH(D14,Listen!$A$27:$D$27,0),0),"-")</f>
        <v>-</v>
      </c>
      <c r="F15" s="235"/>
      <c r="I15" s="52" t="str">
        <f>Uebersetzungen!D148</f>
        <v>Minimum</v>
      </c>
      <c r="J15" s="207" t="e">
        <f>VLOOKUP(E15,Listen!A33:B37,2,0)</f>
        <v>#N/A</v>
      </c>
    </row>
    <row r="16" spans="2:35" s="52" customFormat="1" ht="27.75" customHeight="1" x14ac:dyDescent="0.35">
      <c r="B16" s="76" t="str">
        <f>Uebersetzungen!D105</f>
        <v>Bruttogeschossfläche Verwaltung</v>
      </c>
      <c r="C16" s="81" t="s">
        <v>63</v>
      </c>
      <c r="D16" s="123"/>
      <c r="E16" s="30"/>
    </row>
    <row r="17" spans="2:7" s="52" customFormat="1" ht="27.75" customHeight="1" x14ac:dyDescent="0.35">
      <c r="E17" s="30"/>
    </row>
    <row r="18" spans="2:7" ht="27.75" customHeight="1" x14ac:dyDescent="0.3">
      <c r="B18" s="47" t="str">
        <f>Uebersetzungen!D79</f>
        <v>Resultate</v>
      </c>
    </row>
    <row r="19" spans="2:7" s="52" customFormat="1" ht="27.75" customHeight="1" x14ac:dyDescent="0.35">
      <c r="B19" s="85"/>
      <c r="C19" s="75"/>
      <c r="D19" s="170" t="str">
        <f>Uebersetzungen!$D$106</f>
        <v>Projektwert</v>
      </c>
      <c r="E19" s="184"/>
      <c r="F19" s="185" t="str">
        <f>Uebersetzungen!$D$107</f>
        <v>Vorgabe</v>
      </c>
      <c r="G19" s="171" t="str">
        <f>Uebersetzungen!$D$108</f>
        <v>Erfüllt?</v>
      </c>
    </row>
    <row r="20" spans="2:7" s="52" customFormat="1" ht="27.75" customHeight="1" x14ac:dyDescent="0.35">
      <c r="B20" s="208" t="str">
        <f>B10</f>
        <v>Wohnen MFH &amp; Wohnen EFH</v>
      </c>
      <c r="C20" s="209"/>
      <c r="D20" s="210"/>
      <c r="E20" s="211"/>
      <c r="F20" s="212">
        <f>IFERROR(VLOOKUP(D11,LST_E23,2,0),0)*D12</f>
        <v>0</v>
      </c>
      <c r="G20" s="213"/>
    </row>
    <row r="21" spans="2:7" s="52" customFormat="1" ht="27.75" customHeight="1" x14ac:dyDescent="0.35">
      <c r="B21" s="208" t="str">
        <f>B13</f>
        <v>Verwaltung</v>
      </c>
      <c r="C21" s="209"/>
      <c r="D21" s="210"/>
      <c r="E21" s="214"/>
      <c r="F21" s="215">
        <f>IFERROR(2.5/100*J15*D16,0)</f>
        <v>0</v>
      </c>
      <c r="G21" s="213"/>
    </row>
    <row r="22" spans="2:7" s="52" customFormat="1" ht="27.75" customHeight="1" x14ac:dyDescent="0.35">
      <c r="B22" s="87" t="str">
        <f>B9</f>
        <v>Anzahl Personenwagenabstellplätze</v>
      </c>
      <c r="C22" s="88"/>
      <c r="D22" s="90">
        <f>D9</f>
        <v>0</v>
      </c>
      <c r="E22" s="198" t="s">
        <v>144</v>
      </c>
      <c r="F22" s="168">
        <f>SUM(F20:F21)</f>
        <v>0</v>
      </c>
      <c r="G22" s="126" t="str">
        <f>IF(COUNTA(D9)=0,"-",IF(D22&lt;=F22,Uebersetzungen!$D$64,Uebersetzungen!$D$65))</f>
        <v>-</v>
      </c>
    </row>
  </sheetData>
  <sheetProtection algorithmName="SHA-512" hashValue="267bXbxdhXqc3FEOM5Vet9+Y7y09Qik1kCk7aCBdHI4EdDQ6tCPHB7xOS3wwJ7FbboamkAMN+35ZTnd/IJaj9g==" saltValue="iQcYmeLITFA030CmpvScvA==" spinCount="100000" sheet="1" objects="1" scenarios="1" selectLockedCells="1"/>
  <mergeCells count="7">
    <mergeCell ref="C1:D1"/>
    <mergeCell ref="F1:G1"/>
    <mergeCell ref="B7:G7"/>
    <mergeCell ref="E14:F14"/>
    <mergeCell ref="E15:F15"/>
    <mergeCell ref="B15:C15"/>
    <mergeCell ref="B14:C14"/>
  </mergeCells>
  <dataValidations count="3">
    <dataValidation type="list" allowBlank="1" showInputMessage="1" showErrorMessage="1" sqref="D11" xr:uid="{C44E583D-CE73-4D3E-AED8-D4A63AADF22D}">
      <formula1>LST_Lage</formula1>
    </dataValidation>
    <dataValidation type="list" allowBlank="1" showInputMessage="1" showErrorMessage="1" sqref="D14" xr:uid="{D0AAE36E-CC6F-499D-A50F-5F2B2C6947F4}">
      <formula1>LST_OV</formula1>
    </dataValidation>
    <dataValidation type="list" allowBlank="1" showInputMessage="1" showErrorMessage="1" sqref="D15" xr:uid="{7233F65A-E089-495C-9BCF-7513B441547E}">
      <formula1>LST_Langsamverkehr</formula1>
    </dataValidation>
  </dataValidation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C27DA610-04AA-445E-9563-968CEDE3EC0F}">
            <xm:f>Uebersetzungen!$D$65</xm:f>
            <x14:dxf>
              <font>
                <color rgb="FFFF0000"/>
              </font>
              <fill>
                <patternFill>
                  <bgColor rgb="FFFFB7B7"/>
                </patternFill>
              </fill>
            </x14:dxf>
          </x14:cfRule>
          <x14:cfRule type="cellIs" priority="4" operator="equal" id="{F60D7A64-634A-4647-A16D-43D64D75F2F1}">
            <xm:f>Uebersetzungen!$D$64</xm:f>
            <x14:dxf>
              <font>
                <b/>
                <i val="0"/>
                <color rgb="FF00B050"/>
              </font>
              <fill>
                <patternFill>
                  <bgColor rgb="FF8CF866"/>
                </patternFill>
              </fill>
            </x14:dxf>
          </x14:cfRule>
          <xm:sqref>G22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710F-AF20-4FC5-8A20-A3A639D9CC96}">
  <sheetPr codeName="Tabelle6"/>
  <dimension ref="B1:AH14"/>
  <sheetViews>
    <sheetView showGridLines="0" zoomScaleNormal="100" zoomScalePageLayoutView="70" workbookViewId="0">
      <selection activeCell="C8" sqref="C8:F8"/>
    </sheetView>
  </sheetViews>
  <sheetFormatPr baseColWidth="10" defaultColWidth="11.453125" defaultRowHeight="14" x14ac:dyDescent="0.3"/>
  <cols>
    <col min="1" max="1" width="4.7265625" style="29" customWidth="1"/>
    <col min="2" max="2" width="48.1796875" style="29" customWidth="1"/>
    <col min="3" max="3" width="19.7265625" style="29" bestFit="1" customWidth="1"/>
    <col min="4" max="4" width="35.26953125" style="29" customWidth="1"/>
    <col min="5" max="5" width="14.81640625" style="29" customWidth="1"/>
    <col min="6" max="6" width="10" style="29" customWidth="1"/>
    <col min="7" max="16384" width="11.453125" style="29"/>
  </cols>
  <sheetData>
    <row r="1" spans="2:34" s="9" customFormat="1" ht="54" customHeight="1" x14ac:dyDescent="0.25">
      <c r="B1" s="23"/>
      <c r="C1" s="219" t="str">
        <f>Uebersetzungen!D37</f>
        <v>E2.4 Areal-interne Angebote zur Verkehrsreduktion</v>
      </c>
      <c r="D1" s="219"/>
      <c r="E1" s="220" t="str">
        <f>Uebersetzungen!$D$11&amp;" "&amp;Uebersetzungen!$D$82&amp;" "&amp;Uebersetzungen!$C$2&amp;"."&amp;Uebersetzungen!$A$2</f>
        <v>Hilfstool Wahlvorgaben Version 2025.1</v>
      </c>
      <c r="F1" s="221"/>
      <c r="G1" s="20"/>
      <c r="H1" s="20"/>
      <c r="I1" s="20"/>
      <c r="J1" s="20"/>
      <c r="K1" s="20"/>
      <c r="L1" s="20"/>
      <c r="M1" s="20"/>
      <c r="N1" s="20"/>
      <c r="O1" s="20"/>
      <c r="P1" s="20"/>
      <c r="Q1" s="20"/>
      <c r="R1" s="20"/>
      <c r="S1" s="20"/>
      <c r="T1" s="20"/>
      <c r="U1" s="20"/>
      <c r="V1" s="20"/>
      <c r="W1" s="20"/>
      <c r="X1" s="24"/>
      <c r="Y1" s="25"/>
    </row>
    <row r="2" spans="2:34" s="9" customFormat="1" ht="16.149999999999999" customHeight="1" x14ac:dyDescent="0.25">
      <c r="B2" s="26"/>
      <c r="C2" s="27"/>
      <c r="D2" s="27"/>
      <c r="E2" s="28"/>
      <c r="F2" s="28"/>
      <c r="G2" s="20"/>
      <c r="H2" s="20"/>
      <c r="I2" s="20"/>
      <c r="J2" s="20"/>
      <c r="K2" s="20"/>
      <c r="L2" s="20"/>
      <c r="M2" s="20"/>
      <c r="N2" s="20"/>
      <c r="O2" s="20"/>
      <c r="P2" s="20"/>
      <c r="Q2" s="20"/>
      <c r="R2" s="20"/>
      <c r="S2" s="20"/>
      <c r="T2" s="20"/>
      <c r="U2" s="20"/>
      <c r="V2" s="20"/>
      <c r="W2" s="20"/>
      <c r="X2" s="24"/>
      <c r="Y2" s="25"/>
    </row>
    <row r="3" spans="2:34" s="45" customFormat="1" ht="15" customHeight="1" x14ac:dyDescent="0.3">
      <c r="B3" s="33" t="str">
        <f>Uebersetzungen!D15</f>
        <v>Eingabe</v>
      </c>
      <c r="D3" s="34"/>
      <c r="F3" s="29"/>
      <c r="G3" s="36"/>
      <c r="H3" s="37"/>
      <c r="I3" s="38"/>
      <c r="J3" s="36"/>
      <c r="K3" s="39"/>
      <c r="L3" s="39"/>
      <c r="M3" s="39"/>
      <c r="N3" s="39"/>
      <c r="O3" s="39"/>
      <c r="P3" s="39"/>
      <c r="Q3" s="39"/>
      <c r="R3" s="39"/>
      <c r="S3" s="39"/>
      <c r="T3" s="39"/>
      <c r="U3" s="39"/>
      <c r="V3" s="40"/>
      <c r="W3" s="41"/>
      <c r="X3" s="42"/>
      <c r="Y3" s="43"/>
      <c r="Z3" s="44"/>
      <c r="AA3" s="44"/>
      <c r="AB3" s="44"/>
      <c r="AC3" s="44"/>
      <c r="AD3" s="44"/>
      <c r="AE3" s="44"/>
      <c r="AF3" s="44"/>
      <c r="AG3" s="44"/>
      <c r="AH3" s="44"/>
    </row>
    <row r="4" spans="2:34" s="38" customFormat="1" ht="6" customHeight="1" x14ac:dyDescent="0.3">
      <c r="B4" s="48"/>
      <c r="D4" s="34"/>
      <c r="E4" s="48"/>
      <c r="F4" s="29"/>
      <c r="G4" s="36"/>
      <c r="H4" s="37"/>
      <c r="J4" s="36"/>
      <c r="K4" s="37"/>
      <c r="L4" s="37"/>
      <c r="M4" s="37"/>
      <c r="N4" s="37"/>
      <c r="O4" s="37"/>
      <c r="P4" s="37"/>
      <c r="Q4" s="37"/>
      <c r="R4" s="37"/>
      <c r="S4" s="37"/>
      <c r="T4" s="37"/>
      <c r="U4" s="37"/>
      <c r="V4" s="41"/>
      <c r="W4" s="41"/>
      <c r="X4" s="49"/>
      <c r="Y4" s="50"/>
      <c r="Z4" s="51"/>
      <c r="AA4" s="51"/>
      <c r="AB4" s="51"/>
      <c r="AC4" s="51"/>
      <c r="AD4" s="51"/>
      <c r="AE4" s="51"/>
      <c r="AF4" s="51"/>
      <c r="AG4" s="51"/>
      <c r="AH4" s="51"/>
    </row>
    <row r="5" spans="2:34" ht="15" customHeight="1" x14ac:dyDescent="0.3">
      <c r="B5" s="35" t="str">
        <f>Uebersetzungen!D20</f>
        <v>Auswahlfeld</v>
      </c>
    </row>
    <row r="6" spans="2:34" x14ac:dyDescent="0.3">
      <c r="B6" s="48"/>
    </row>
    <row r="7" spans="2:34" s="30" customFormat="1" ht="24.75" customHeight="1" x14ac:dyDescent="0.3">
      <c r="B7" s="47" t="str">
        <f>Uebersetzungen!D80</f>
        <v>Angaben zu den Angeboten zur Verkehrsreduktion</v>
      </c>
      <c r="D7" s="29"/>
    </row>
    <row r="8" spans="2:34" s="52" customFormat="1" ht="28" customHeight="1" x14ac:dyDescent="0.35">
      <c r="B8" s="62" t="str">
        <f>"1. "&amp;Uebersetzungen!D$19</f>
        <v>1. Areal-internes Angebot zur Verkehrsreduktion</v>
      </c>
      <c r="C8" s="238"/>
      <c r="D8" s="238"/>
      <c r="E8" s="238"/>
      <c r="F8" s="239"/>
    </row>
    <row r="9" spans="2:34" s="52" customFormat="1" ht="49.5" customHeight="1" x14ac:dyDescent="0.35">
      <c r="B9" s="54" t="str">
        <f>Uebersetzungen!$D$81</f>
        <v>Beschreibung des Angebots</v>
      </c>
      <c r="C9" s="245"/>
      <c r="D9" s="246"/>
      <c r="E9" s="246"/>
      <c r="F9" s="247"/>
    </row>
    <row r="10" spans="2:34" s="52" customFormat="1" x14ac:dyDescent="0.35">
      <c r="B10" s="56"/>
      <c r="C10" s="57"/>
      <c r="D10" s="57"/>
      <c r="E10" s="58"/>
      <c r="F10" s="59"/>
    </row>
    <row r="11" spans="2:34" s="52" customFormat="1" ht="28" customHeight="1" x14ac:dyDescent="0.35">
      <c r="B11" s="70" t="str">
        <f>"2. "&amp;Uebersetzungen!D$19</f>
        <v>2. Areal-internes Angebot zur Verkehrsreduktion</v>
      </c>
      <c r="C11" s="240"/>
      <c r="D11" s="240"/>
      <c r="E11" s="240"/>
      <c r="F11" s="241"/>
    </row>
    <row r="12" spans="2:34" s="52" customFormat="1" ht="49.5" customHeight="1" x14ac:dyDescent="0.35">
      <c r="B12" s="55" t="str">
        <f>Uebersetzungen!$D$81</f>
        <v>Beschreibung des Angebots</v>
      </c>
      <c r="C12" s="242"/>
      <c r="D12" s="243"/>
      <c r="E12" s="243"/>
      <c r="F12" s="244"/>
    </row>
    <row r="13" spans="2:34" x14ac:dyDescent="0.3">
      <c r="B13" s="30"/>
      <c r="C13" s="30"/>
      <c r="D13" s="53"/>
    </row>
    <row r="14" spans="2:34" x14ac:dyDescent="0.3">
      <c r="B14" s="53"/>
      <c r="C14" s="53"/>
      <c r="D14" s="53"/>
    </row>
  </sheetData>
  <sheetProtection algorithmName="SHA-512" hashValue="OcdFRWQHQxz+/o+OLsmuSj8mNZZ9X2ggwvS4TuOybcGAUZjEF7GTagHppAm9PuOp6YVT4bRY2uVvANpLeC32KA==" saltValue="pQ4GvCvoo7/gf8WaKjua0w==" spinCount="100000" sheet="1" objects="1" scenarios="1" selectLockedCells="1"/>
  <mergeCells count="6">
    <mergeCell ref="C1:D1"/>
    <mergeCell ref="C8:F8"/>
    <mergeCell ref="C11:F11"/>
    <mergeCell ref="C12:F12"/>
    <mergeCell ref="C9:F9"/>
    <mergeCell ref="E1:F1"/>
  </mergeCells>
  <dataValidations count="1">
    <dataValidation type="list" allowBlank="1" showInputMessage="1" showErrorMessage="1" sqref="C8:F8 C11:F11" xr:uid="{D99D1CF8-E6FF-4200-8D8A-040B7A8360B5}">
      <formula1>LST_E24</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E5545-2ACF-4C51-B9EE-60A9C239B752}">
  <sheetPr codeName="Tabelle7"/>
  <dimension ref="B1:AH18"/>
  <sheetViews>
    <sheetView showGridLines="0" zoomScaleNormal="100" zoomScalePageLayoutView="70" workbookViewId="0">
      <selection activeCell="C8" sqref="C8:F8"/>
    </sheetView>
  </sheetViews>
  <sheetFormatPr baseColWidth="10" defaultColWidth="11.453125" defaultRowHeight="14" x14ac:dyDescent="0.3"/>
  <cols>
    <col min="1" max="1" width="4.7265625" style="29" customWidth="1"/>
    <col min="2" max="2" width="47.1796875" style="29" customWidth="1"/>
    <col min="3" max="3" width="19.7265625" style="29" bestFit="1" customWidth="1"/>
    <col min="4" max="4" width="35.26953125" style="29" customWidth="1"/>
    <col min="5" max="5" width="14.81640625" style="29" customWidth="1"/>
    <col min="6" max="6" width="10" style="29" customWidth="1"/>
    <col min="7" max="16384" width="11.453125" style="29"/>
  </cols>
  <sheetData>
    <row r="1" spans="2:34" s="9" customFormat="1" ht="54" customHeight="1" x14ac:dyDescent="0.25">
      <c r="B1" s="23"/>
      <c r="C1" s="219" t="str">
        <f>Uebersetzungen!D38</f>
        <v>E2.5 Mobilitätsmanagement zur MIV-Reduktion</v>
      </c>
      <c r="D1" s="219"/>
      <c r="E1" s="220" t="str">
        <f>Uebersetzungen!$D$11&amp;" "&amp;Uebersetzungen!$D$82&amp;" "&amp;Uebersetzungen!$C$2&amp;"."&amp;Uebersetzungen!$A$2</f>
        <v>Hilfstool Wahlvorgaben Version 2025.1</v>
      </c>
      <c r="F1" s="221"/>
      <c r="G1" s="20"/>
      <c r="H1" s="20"/>
      <c r="I1" s="20"/>
      <c r="J1" s="20"/>
      <c r="K1" s="20"/>
      <c r="L1" s="20"/>
      <c r="M1" s="20"/>
      <c r="N1" s="20"/>
      <c r="O1" s="20"/>
      <c r="P1" s="20"/>
      <c r="Q1" s="20"/>
      <c r="R1" s="20"/>
      <c r="S1" s="20"/>
      <c r="T1" s="20"/>
      <c r="U1" s="20"/>
      <c r="V1" s="20"/>
      <c r="W1" s="20"/>
      <c r="X1" s="24"/>
      <c r="Y1" s="25"/>
    </row>
    <row r="2" spans="2:34" s="9" customFormat="1" ht="16.149999999999999" customHeight="1" x14ac:dyDescent="0.25">
      <c r="B2" s="26"/>
      <c r="C2" s="27"/>
      <c r="D2" s="27"/>
      <c r="E2" s="28"/>
      <c r="F2" s="28"/>
      <c r="G2" s="20"/>
      <c r="H2" s="20"/>
      <c r="I2" s="20"/>
      <c r="J2" s="20"/>
      <c r="K2" s="20"/>
      <c r="L2" s="20"/>
      <c r="M2" s="20"/>
      <c r="N2" s="20"/>
      <c r="O2" s="20"/>
      <c r="P2" s="20"/>
      <c r="Q2" s="20"/>
      <c r="R2" s="20"/>
      <c r="S2" s="20"/>
      <c r="T2" s="20"/>
      <c r="U2" s="20"/>
      <c r="V2" s="20"/>
      <c r="W2" s="20"/>
      <c r="X2" s="24"/>
      <c r="Y2" s="25"/>
    </row>
    <row r="3" spans="2:34" s="45" customFormat="1" ht="15" customHeight="1" x14ac:dyDescent="0.3">
      <c r="B3" s="33" t="str">
        <f>Uebersetzungen!D15</f>
        <v>Eingabe</v>
      </c>
      <c r="D3" s="34"/>
      <c r="F3" s="29"/>
      <c r="G3" s="36"/>
      <c r="H3" s="37"/>
      <c r="I3" s="38"/>
      <c r="J3" s="36"/>
      <c r="K3" s="39"/>
      <c r="L3" s="39"/>
      <c r="M3" s="39"/>
      <c r="N3" s="39"/>
      <c r="O3" s="39"/>
      <c r="P3" s="39"/>
      <c r="Q3" s="39"/>
      <c r="R3" s="39"/>
      <c r="S3" s="39"/>
      <c r="T3" s="39"/>
      <c r="U3" s="39"/>
      <c r="V3" s="40"/>
      <c r="W3" s="41"/>
      <c r="X3" s="42"/>
      <c r="Y3" s="43"/>
      <c r="Z3" s="44"/>
      <c r="AA3" s="44"/>
      <c r="AB3" s="44"/>
      <c r="AC3" s="44"/>
      <c r="AD3" s="44"/>
      <c r="AE3" s="44"/>
      <c r="AF3" s="44"/>
      <c r="AG3" s="44"/>
      <c r="AH3" s="44"/>
    </row>
    <row r="4" spans="2:34" s="38" customFormat="1" ht="6" customHeight="1" x14ac:dyDescent="0.3">
      <c r="B4" s="48"/>
      <c r="D4" s="34"/>
      <c r="E4" s="48"/>
      <c r="F4" s="29"/>
      <c r="G4" s="36"/>
      <c r="H4" s="37"/>
      <c r="J4" s="36"/>
      <c r="K4" s="37"/>
      <c r="L4" s="37"/>
      <c r="M4" s="37"/>
      <c r="N4" s="37"/>
      <c r="O4" s="37"/>
      <c r="P4" s="37"/>
      <c r="Q4" s="37"/>
      <c r="R4" s="37"/>
      <c r="S4" s="37"/>
      <c r="T4" s="37"/>
      <c r="U4" s="37"/>
      <c r="V4" s="41"/>
      <c r="W4" s="41"/>
      <c r="X4" s="49"/>
      <c r="Y4" s="50"/>
      <c r="Z4" s="51"/>
      <c r="AA4" s="51"/>
      <c r="AB4" s="51"/>
      <c r="AC4" s="51"/>
      <c r="AD4" s="51"/>
      <c r="AE4" s="51"/>
      <c r="AF4" s="51"/>
      <c r="AG4" s="51"/>
      <c r="AH4" s="51"/>
    </row>
    <row r="5" spans="2:34" ht="15" customHeight="1" x14ac:dyDescent="0.3">
      <c r="B5" s="35" t="str">
        <f>Uebersetzungen!D20</f>
        <v>Auswahlfeld</v>
      </c>
    </row>
    <row r="6" spans="2:34" x14ac:dyDescent="0.3">
      <c r="B6" s="48"/>
    </row>
    <row r="7" spans="2:34" s="30" customFormat="1" ht="24.75" customHeight="1" x14ac:dyDescent="0.3">
      <c r="B7" s="47" t="str">
        <f>Uebersetzungen!D14</f>
        <v>Angaben zu den Massnahmen</v>
      </c>
      <c r="D7" s="29"/>
    </row>
    <row r="8" spans="2:34" s="52" customFormat="1" ht="41.25" customHeight="1" x14ac:dyDescent="0.35">
      <c r="B8" s="62" t="str">
        <f>"1. "&amp;Uebersetzungen!D$12</f>
        <v>1. Massnahme zur Reduktion des MIV</v>
      </c>
      <c r="C8" s="238"/>
      <c r="D8" s="238"/>
      <c r="E8" s="238"/>
      <c r="F8" s="239"/>
    </row>
    <row r="9" spans="2:34" s="52" customFormat="1" ht="86.65" customHeight="1" x14ac:dyDescent="0.35">
      <c r="B9" s="54" t="str">
        <f>Uebersetzungen!$D$81</f>
        <v>Beschreibung des Angebots</v>
      </c>
      <c r="C9" s="245"/>
      <c r="D9" s="246"/>
      <c r="E9" s="246"/>
      <c r="F9" s="247"/>
    </row>
    <row r="10" spans="2:34" s="52" customFormat="1" x14ac:dyDescent="0.35">
      <c r="B10" s="56"/>
      <c r="C10" s="57"/>
      <c r="D10" s="57"/>
      <c r="E10" s="58"/>
      <c r="F10" s="59"/>
    </row>
    <row r="11" spans="2:34" s="52" customFormat="1" ht="41.25" customHeight="1" x14ac:dyDescent="0.35">
      <c r="B11" s="70" t="str">
        <f>"2. "&amp;Uebersetzungen!D$19</f>
        <v>2. Areal-internes Angebot zur Verkehrsreduktion</v>
      </c>
      <c r="C11" s="240"/>
      <c r="D11" s="240"/>
      <c r="E11" s="240"/>
      <c r="F11" s="241"/>
    </row>
    <row r="12" spans="2:34" s="52" customFormat="1" ht="86.65" customHeight="1" x14ac:dyDescent="0.35">
      <c r="B12" s="55" t="str">
        <f>Uebersetzungen!$D$81</f>
        <v>Beschreibung des Angebots</v>
      </c>
      <c r="C12" s="242"/>
      <c r="D12" s="243"/>
      <c r="E12" s="243"/>
      <c r="F12" s="244"/>
    </row>
    <row r="13" spans="2:34" x14ac:dyDescent="0.3">
      <c r="B13" s="30"/>
      <c r="C13" s="30"/>
      <c r="D13" s="53"/>
    </row>
    <row r="14" spans="2:34" x14ac:dyDescent="0.3">
      <c r="B14" s="53"/>
      <c r="C14" s="53"/>
      <c r="D14" s="53"/>
    </row>
    <row r="16" spans="2:34" x14ac:dyDescent="0.3">
      <c r="B16" s="30"/>
      <c r="C16" s="30"/>
      <c r="D16" s="30"/>
      <c r="E16" s="60"/>
    </row>
    <row r="17" spans="2:5" x14ac:dyDescent="0.3">
      <c r="B17" s="30"/>
      <c r="C17" s="30"/>
      <c r="D17" s="30"/>
      <c r="E17" s="60"/>
    </row>
    <row r="18" spans="2:5" x14ac:dyDescent="0.3">
      <c r="B18" s="30"/>
      <c r="C18" s="30"/>
      <c r="D18" s="30"/>
      <c r="E18" s="30"/>
    </row>
  </sheetData>
  <sheetProtection algorithmName="SHA-512" hashValue="XYjZXEFngeSnIEtsIzbMChmcqAn6K7ahmqaE0TYfoCjQcETzlpZcIPTSmVyQxXQLmlDHXfDnaxWP7jN5aIreuQ==" saltValue="EjV2hSmsHq/TgR0WiUuejA==" spinCount="100000" sheet="1" objects="1" scenarios="1" selectLockedCells="1"/>
  <mergeCells count="6">
    <mergeCell ref="C12:F12"/>
    <mergeCell ref="C1:D1"/>
    <mergeCell ref="E1:F1"/>
    <mergeCell ref="C8:F8"/>
    <mergeCell ref="C9:F9"/>
    <mergeCell ref="C11:F11"/>
  </mergeCells>
  <dataValidations count="1">
    <dataValidation type="list" allowBlank="1" showInputMessage="1" showErrorMessage="1" sqref="C8:F8 C11:F11" xr:uid="{65620AA2-0967-428B-9128-3C1D7331D4F0}">
      <formula1>LST_E25</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26A41-271B-4BFB-968A-189B968BF62F}">
  <sheetPr codeName="Tabelle8"/>
  <dimension ref="B1:AI13"/>
  <sheetViews>
    <sheetView showGridLines="0" zoomScaleNormal="100" zoomScalePageLayoutView="70" workbookViewId="0">
      <selection activeCell="C8" sqref="C8"/>
    </sheetView>
  </sheetViews>
  <sheetFormatPr baseColWidth="10" defaultColWidth="11.453125" defaultRowHeight="14" x14ac:dyDescent="0.3"/>
  <cols>
    <col min="1" max="1" width="2.1796875" style="29" customWidth="1"/>
    <col min="2" max="2" width="52.54296875" style="29" customWidth="1"/>
    <col min="3" max="3" width="16.1796875" style="29" customWidth="1"/>
    <col min="4" max="4" width="4.54296875" style="29" customWidth="1"/>
    <col min="5" max="5" width="13.453125" style="29" customWidth="1"/>
    <col min="6" max="6" width="16.1796875" style="29" customWidth="1"/>
    <col min="7" max="7" width="10" style="29" customWidth="1"/>
    <col min="8" max="16384" width="11.453125" style="29"/>
  </cols>
  <sheetData>
    <row r="1" spans="2:35" s="9" customFormat="1" ht="54" customHeight="1" x14ac:dyDescent="0.25">
      <c r="B1" s="23"/>
      <c r="C1" s="219" t="str">
        <f>Uebersetzungen!D39</f>
        <v>E2.6 Bidirektionale Ladestationen</v>
      </c>
      <c r="D1" s="219"/>
      <c r="E1" s="219"/>
      <c r="F1" s="220" t="str">
        <f>Uebersetzungen!$D$11&amp;" "&amp;Uebersetzungen!$D$82&amp;" "&amp;Uebersetzungen!$C$2&amp;"."&amp;Uebersetzungen!$A$2</f>
        <v>Hilfstool Wahlvorgaben Version 2025.1</v>
      </c>
      <c r="G1" s="22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Eingabe</v>
      </c>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Auswahlfeld</v>
      </c>
    </row>
    <row r="6" spans="2:35" x14ac:dyDescent="0.3">
      <c r="B6" s="48"/>
    </row>
    <row r="7" spans="2:35" s="30" customFormat="1" ht="19.5" customHeight="1" x14ac:dyDescent="0.3">
      <c r="B7" s="47" t="str">
        <f>Uebersetzungen!D83</f>
        <v>Angaben zu den bidirektionalen Ladestationen</v>
      </c>
    </row>
    <row r="8" spans="2:35" s="63" customFormat="1" ht="28" customHeight="1" x14ac:dyDescent="0.35">
      <c r="B8" s="62" t="str">
        <f>Uebersetzungen!D21</f>
        <v>Anzahl Parkplätze total</v>
      </c>
      <c r="C8" s="68"/>
      <c r="D8" s="30"/>
      <c r="E8" s="65"/>
      <c r="F8" s="65"/>
    </row>
    <row r="9" spans="2:35" s="63" customFormat="1" ht="28" customHeight="1" x14ac:dyDescent="0.35">
      <c r="B9" s="64" t="str">
        <f>Uebersetzungen!D22</f>
        <v xml:space="preserve">Anzahl Parkplätze mit bidirektionalen Ladestationen </v>
      </c>
      <c r="C9" s="69"/>
      <c r="D9" s="30"/>
      <c r="E9" s="65"/>
      <c r="F9" s="65"/>
    </row>
    <row r="10" spans="2:35" ht="31.5" customHeight="1" x14ac:dyDescent="0.3">
      <c r="B10" s="47" t="str">
        <f>Uebersetzungen!D79</f>
        <v>Resultate</v>
      </c>
      <c r="C10" s="66"/>
      <c r="D10" s="66"/>
      <c r="E10" s="66"/>
      <c r="F10" s="66"/>
    </row>
    <row r="11" spans="2:35" ht="28" customHeight="1" x14ac:dyDescent="0.3">
      <c r="B11" s="61"/>
      <c r="C11" s="178" t="str">
        <f>Uebersetzungen!$D$106</f>
        <v>Projektwert</v>
      </c>
      <c r="D11" s="225" t="str">
        <f>Uebersetzungen!$D$107</f>
        <v>Vorgabe</v>
      </c>
      <c r="E11" s="226"/>
      <c r="F11" s="179" t="str">
        <f>Uebersetzungen!$D$108</f>
        <v>Erfüllt?</v>
      </c>
    </row>
    <row r="12" spans="2:35" s="63" customFormat="1" ht="28" customHeight="1" x14ac:dyDescent="0.35">
      <c r="B12" s="64" t="str">
        <f>Uebersetzungen!D84</f>
        <v xml:space="preserve">Anteil Parkplätze mit bidirektionalen Ladestationen </v>
      </c>
      <c r="C12" s="67" t="str">
        <f>IFERROR(C9/C8,"-")</f>
        <v>-</v>
      </c>
      <c r="D12" s="199" t="s">
        <v>398</v>
      </c>
      <c r="E12" s="187">
        <v>0.05</v>
      </c>
      <c r="F12" s="124" t="str">
        <f>IF(C12="-","-",IF(C12&gt;=E12,Uebersetzungen!$D$64,Uebersetzungen!$D$65))</f>
        <v>-</v>
      </c>
    </row>
    <row r="13" spans="2:35" ht="19.149999999999999" customHeight="1" x14ac:dyDescent="0.3">
      <c r="C13" s="66"/>
      <c r="D13" s="66"/>
      <c r="E13" s="66"/>
      <c r="F13" s="66"/>
    </row>
  </sheetData>
  <sheetProtection algorithmName="SHA-512" hashValue="hvsarf6R1BijCT+BdnG1iZmJh4ulYJfEZ8Mjihp4xTa99B1v0F1QrntE2nnRIu0xTe2BE2swkx6pbCB73qMDGg==" saltValue="fr3XfF+HRpzh1hq2rc8DWQ==" spinCount="100000" sheet="1" objects="1" scenarios="1" selectLockedCells="1"/>
  <mergeCells count="3">
    <mergeCell ref="C1:E1"/>
    <mergeCell ref="F1:G1"/>
    <mergeCell ref="D11:E11"/>
  </mergeCell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7753840F-B88D-410A-834C-695D9EDFCC56}">
            <xm:f>Uebersetzungen!$D$65</xm:f>
            <x14:dxf>
              <font>
                <color rgb="FFFF0000"/>
              </font>
              <fill>
                <patternFill>
                  <bgColor rgb="FFFFB7B7"/>
                </patternFill>
              </fill>
            </x14:dxf>
          </x14:cfRule>
          <x14:cfRule type="cellIs" priority="4" operator="equal" id="{711F85FA-FC1D-4583-83C6-46788DDE28C6}">
            <xm:f>Uebersetzungen!$D$64</xm:f>
            <x14:dxf>
              <font>
                <b/>
                <i val="0"/>
                <color rgb="FF00B050"/>
              </font>
              <fill>
                <patternFill>
                  <bgColor rgb="FF8CF866"/>
                </patternFill>
              </fill>
            </x14:dxf>
          </x14:cfRule>
          <xm:sqref>F12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SKCW24DMUQ4M-227545371-632425</_dlc_DocId>
    <lcf76f155ced4ddcb4097134ff3c332f xmlns="f9ded8a6-640d-4e2b-81aa-3f415abfbf2d">
      <Terms xmlns="http://schemas.microsoft.com/office/infopath/2007/PartnerControls"/>
    </lcf76f155ced4ddcb4097134ff3c332f>
    <TaxCatchAll xmlns="19415a2c-3045-4769-8042-b2d573daa356" xsi:nil="true"/>
    <_dlc_DocIdUrl xmlns="19415a2c-3045-4769-8042-b2d573daa356">
      <Url>https://mst239701.sharepoint.com/sites/Files/_layouts/15/DocIdRedir.aspx?ID=SKCW24DMUQ4M-227545371-632425</Url>
      <Description>SKCW24DMUQ4M-227545371-632425</Description>
    </_dlc_DocIdUrl>
    <SharedWithUsers xmlns="19415a2c-3045-4769-8042-b2d573daa356">
      <UserInfo>
        <DisplayName>Stefanie Steiner | Minergie</DisplayName>
        <AccountId>82</AccountId>
        <AccountType/>
      </UserInfo>
      <UserInfo>
        <DisplayName>Maja Dzakulin | Minergie</DisplayName>
        <AccountId>113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6" ma:contentTypeDescription="Create a new document." ma:contentTypeScope="" ma:versionID="48e1ce722a0c28751384785e55dfdc20">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9631bb1c07f463b330865ae2bca6f636"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ADD55E-69D8-4ACA-9518-6EF34221A89A}">
  <ds:schemaRefs>
    <ds:schemaRef ds:uri="http://purl.org/dc/elements/1.1/"/>
    <ds:schemaRef ds:uri="http://www.w3.org/XML/1998/namespace"/>
    <ds:schemaRef ds:uri="http://purl.org/dc/dcmitype/"/>
    <ds:schemaRef ds:uri="http://schemas.microsoft.com/office/2006/metadata/properties"/>
    <ds:schemaRef ds:uri="http://purl.org/dc/terms/"/>
    <ds:schemaRef ds:uri="19415a2c-3045-4769-8042-b2d573daa356"/>
    <ds:schemaRef ds:uri="http://schemas.microsoft.com/office/2006/documentManagement/types"/>
    <ds:schemaRef ds:uri="http://schemas.microsoft.com/office/infopath/2007/PartnerControls"/>
    <ds:schemaRef ds:uri="http://schemas.openxmlformats.org/package/2006/metadata/core-properties"/>
    <ds:schemaRef ds:uri="f9ded8a6-640d-4e2b-81aa-3f415abfbf2d"/>
  </ds:schemaRefs>
</ds:datastoreItem>
</file>

<file path=customXml/itemProps2.xml><?xml version="1.0" encoding="utf-8"?>
<ds:datastoreItem xmlns:ds="http://schemas.openxmlformats.org/officeDocument/2006/customXml" ds:itemID="{44E8E805-2232-4FA5-A947-4B79AC75A1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E315DD-528A-423E-97DD-FFED4D719BDF}">
  <ds:schemaRefs>
    <ds:schemaRef ds:uri="http://schemas.microsoft.com/sharepoint/events"/>
  </ds:schemaRefs>
</ds:datastoreItem>
</file>

<file path=customXml/itemProps4.xml><?xml version="1.0" encoding="utf-8"?>
<ds:datastoreItem xmlns:ds="http://schemas.openxmlformats.org/officeDocument/2006/customXml" ds:itemID="{3D99E453-32DA-4894-8F98-FA5B9DFADA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22</vt:i4>
      </vt:variant>
    </vt:vector>
  </HeadingPairs>
  <TitlesOfParts>
    <vt:vector size="34" baseType="lpstr">
      <vt:lpstr>B1.4</vt:lpstr>
      <vt:lpstr>B1.5</vt:lpstr>
      <vt:lpstr>C2.2</vt:lpstr>
      <vt:lpstr>C2.4</vt:lpstr>
      <vt:lpstr>D1.5</vt:lpstr>
      <vt:lpstr>E2.3</vt:lpstr>
      <vt:lpstr>E2.4</vt:lpstr>
      <vt:lpstr>E2.5</vt:lpstr>
      <vt:lpstr>E2.6</vt:lpstr>
      <vt:lpstr>Joker</vt:lpstr>
      <vt:lpstr>Listen</vt:lpstr>
      <vt:lpstr>Uebersetzungen</vt:lpstr>
      <vt:lpstr>B1.4!Druckbereich</vt:lpstr>
      <vt:lpstr>B1.5!Druckbereich</vt:lpstr>
      <vt:lpstr>C2.2!Druckbereich</vt:lpstr>
      <vt:lpstr>C2.4!Druckbereich</vt:lpstr>
      <vt:lpstr>D1.5!Druckbereich</vt:lpstr>
      <vt:lpstr>E2.3!Druckbereich</vt:lpstr>
      <vt:lpstr>E2.4!Druckbereich</vt:lpstr>
      <vt:lpstr>E2.5!Druckbereich</vt:lpstr>
      <vt:lpstr>E2.6!Druckbereich</vt:lpstr>
      <vt:lpstr>Joker!Druckbereich</vt:lpstr>
      <vt:lpstr>LST_E23</vt:lpstr>
      <vt:lpstr>LST_E24</vt:lpstr>
      <vt:lpstr>LST_E25</vt:lpstr>
      <vt:lpstr>LST_Joker</vt:lpstr>
      <vt:lpstr>LST_Lage</vt:lpstr>
      <vt:lpstr>LST_Langsamverkehr</vt:lpstr>
      <vt:lpstr>LST_OV</vt:lpstr>
      <vt:lpstr>LSTB14</vt:lpstr>
      <vt:lpstr>LSTC22</vt:lpstr>
      <vt:lpstr>LSTC22_2</vt:lpstr>
      <vt:lpstr>LSTC22_3</vt:lpstr>
      <vt:lpstr>LSTLage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Stefanie Steiner</dc:creator>
  <cp:lastModifiedBy>Maja Dzakulin | Minergie</cp:lastModifiedBy>
  <cp:lastPrinted>2023-06-23T14:35:52Z</cp:lastPrinted>
  <dcterms:created xsi:type="dcterms:W3CDTF">2023-05-30T12:14:13Z</dcterms:created>
  <dcterms:modified xsi:type="dcterms:W3CDTF">2025-09-07T18:54:48Z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ac7f9bd4-bef6-4cad-82d1-683b50071cd1</vt:lpwstr>
  </property>
  <property fmtid="{D5CDD505-2E9C-101B-9397-08002B2CF9AE}" pid="4" name="MediaServiceImageTags">
    <vt:lpwstr/>
  </property>
</Properties>
</file>