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8" documentId="8_{0742EFEA-242A-438D-98BC-1C5E5FCFBC33}" xr6:coauthVersionLast="47" xr6:coauthVersionMax="47" xr10:uidLastSave="{66780F60-693F-4450-94F4-82848A6D9961}"/>
  <workbookProtection workbookAlgorithmName="SHA-512" workbookHashValue="YLO9spNwTA6yfwSCJXJCAOpMtGDn3Qcm3i3BqJ0wB4T9txJ0m/xy/YZ4Dz3DzMPUqvCAoqcIXOug2tu2lfm6Og==" workbookSaltValue="1sNra5WAg0RmP6aQeOQZCg==" workbookSpinCount="100000" lockStructure="1"/>
  <bookViews>
    <workbookView xWindow="-120" yWindow="-120" windowWidth="38640" windowHeight="21240" xr2:uid="{9F7C1D0B-8BF0-4810-B46E-315A2BB8E631}"/>
  </bookViews>
  <sheets>
    <sheet name="Anleitung" sheetId="5" r:id="rId1"/>
    <sheet name="Eingabe" sheetId="1" r:id="rId2"/>
    <sheet name="Uebersicht" sheetId="3" r:id="rId3"/>
    <sheet name="Listen" sheetId="2" state="hidden" r:id="rId4"/>
    <sheet name="Uebersetzung" sheetId="4" state="hidden" r:id="rId5"/>
  </sheets>
  <definedNames>
    <definedName name="AusnahmeAreal" localSheetId="0">Anleitung!#REF!</definedName>
    <definedName name="AusnahmeAreal">Eingabe!$E$18:$X$18</definedName>
    <definedName name="BauvorhabenAreal" localSheetId="0">Anleitung!#REF!</definedName>
    <definedName name="BauvorhabenAreal">Eingabe!$E$15:$X$15</definedName>
    <definedName name="BestAusnahme">Listen!$B$26</definedName>
    <definedName name="_xlnm.Print_Area" localSheetId="0">Anleitung!$A$1:$G$19</definedName>
    <definedName name="_xlnm.Print_Area" localSheetId="1">Eingabe!$A$1:$X$68</definedName>
    <definedName name="_xlnm.Print_Area" localSheetId="2">Uebersicht!$A$1:$G$47</definedName>
    <definedName name="_xlnm.Print_Titles" localSheetId="1">Eingabe!$C:$D,Eingabe!$8:$8</definedName>
    <definedName name="EBFAreal" localSheetId="0">Anleitung!#REF!</definedName>
    <definedName name="EBFAreal">Eingabe!$E$14:$X$14</definedName>
    <definedName name="EBFRückbau" localSheetId="0">Anleitung!#REF!</definedName>
    <definedName name="EBFRückbau">Eingabe!$E$50:$X$50</definedName>
    <definedName name="GEAK_SNBS">Listen!$B$30</definedName>
    <definedName name="KompensationJa">Listen!$B$76</definedName>
    <definedName name="KompensationNein">Listen!$B$77</definedName>
    <definedName name="Leistung_Solar">Listen!$B$79</definedName>
    <definedName name="LST_AnteilEBF">Listen!#REF!</definedName>
    <definedName name="LST_Leer">Listen!$B$88</definedName>
    <definedName name="LST_PV_Zulässigkeit">Listen!$B$82:$B$83</definedName>
    <definedName name="LSTArt">Listen!$B$24:$B$26</definedName>
    <definedName name="LSTAusnahme">Listen!$B$28:$B$31</definedName>
    <definedName name="LSTGebKat">Listen!$B$2:$B$14</definedName>
    <definedName name="LSTKompensation">Listen!$B$76:$B$77</definedName>
    <definedName name="LSTMinStandard">Listen!$B$16:$B$22</definedName>
    <definedName name="LSTNeubau">Listen!$B$57:$B$58</definedName>
    <definedName name="LSTWärme">Listen!$B$34:$B$56</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Listen!$B$29</definedName>
    <definedName name="MKZAnforderungAreal" localSheetId="0">Anleitung!#REF!</definedName>
    <definedName name="MKZPWAreal" localSheetId="0">Anleitung!#REF!</definedName>
    <definedName name="Neubau_Erneuerung">Listen!$B$24</definedName>
    <definedName name="NeubauJa">Listen!$B$57</definedName>
    <definedName name="NeubauNein">Listen!$B$58</definedName>
    <definedName name="PV_nicht_zugelassen">Listen!$B$83</definedName>
    <definedName name="PV_Zugelassen">Listen!$B$82</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Listen!$B$28</definedName>
    <definedName name="StandardAreal" localSheetId="0">Anleitung!#REF!</definedName>
    <definedName name="Standardoffen">Listen!$B$22</definedName>
    <definedName name="Systemerneuerung">Listen!$B$25</definedName>
    <definedName name="THGEAnforderungAreal" localSheetId="0">Anleitung!#REF!</definedName>
    <definedName name="THGEPWAreal" localSheetId="0">Anleitung!#REF!</definedName>
    <definedName name="WeitereAusnahmen">Listen!$B$31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2" l="1"/>
  <c r="C9" i="3"/>
  <c r="Z60" i="1" l="1"/>
  <c r="Z50" i="1"/>
  <c r="X152" i="1"/>
  <c r="G153" i="1" l="1"/>
  <c r="H153" i="1"/>
  <c r="I153" i="1"/>
  <c r="J153" i="1"/>
  <c r="K153" i="1"/>
  <c r="L153" i="1"/>
  <c r="M153" i="1"/>
  <c r="N153" i="1"/>
  <c r="O153" i="1"/>
  <c r="P153" i="1"/>
  <c r="Q153" i="1"/>
  <c r="R153" i="1"/>
  <c r="S153" i="1"/>
  <c r="T153" i="1"/>
  <c r="U153" i="1"/>
  <c r="V153" i="1"/>
  <c r="W153" i="1"/>
  <c r="X153" i="1"/>
  <c r="H12" i="1" l="1"/>
  <c r="H14" i="1" s="1"/>
  <c r="I12" i="1"/>
  <c r="J12" i="1"/>
  <c r="J14" i="1" s="1"/>
  <c r="K12" i="1"/>
  <c r="K14" i="1" s="1"/>
  <c r="L12" i="1"/>
  <c r="L14" i="1" s="1"/>
  <c r="M12" i="1"/>
  <c r="M14" i="1" s="1"/>
  <c r="N12" i="1"/>
  <c r="N14" i="1" s="1"/>
  <c r="O12" i="1"/>
  <c r="O14" i="1" s="1"/>
  <c r="P12" i="1"/>
  <c r="P14" i="1" s="1"/>
  <c r="Q12" i="1"/>
  <c r="Q14" i="1" s="1"/>
  <c r="R12" i="1"/>
  <c r="R14" i="1" s="1"/>
  <c r="S12" i="1"/>
  <c r="S14" i="1" s="1"/>
  <c r="T12" i="1"/>
  <c r="T14" i="1" s="1"/>
  <c r="U12" i="1"/>
  <c r="U14" i="1" s="1"/>
  <c r="V12" i="1"/>
  <c r="V14" i="1" s="1"/>
  <c r="W12" i="1"/>
  <c r="W14" i="1" s="1"/>
  <c r="X12" i="1"/>
  <c r="X14" i="1" s="1"/>
  <c r="I14" i="1"/>
  <c r="E12" i="1"/>
  <c r="E14" i="1" s="1"/>
  <c r="E26" i="1" s="1"/>
  <c r="F12" i="1"/>
  <c r="F14" i="1" s="1"/>
  <c r="G12" i="1"/>
  <c r="G14" i="1" s="1"/>
  <c r="K41" i="1" l="1"/>
  <c r="K77" i="1" s="1"/>
  <c r="I29" i="1"/>
  <c r="I73" i="1" s="1"/>
  <c r="P41" i="1"/>
  <c r="P77" i="1" s="1"/>
  <c r="W29" i="1"/>
  <c r="W73" i="1" s="1"/>
  <c r="S41" i="1"/>
  <c r="S77" i="1" s="1"/>
  <c r="Q26" i="1"/>
  <c r="Q72" i="1" s="1"/>
  <c r="X41" i="1"/>
  <c r="X77" i="1" s="1"/>
  <c r="H41" i="1"/>
  <c r="H77" i="1" s="1"/>
  <c r="O32" i="1"/>
  <c r="O74" i="1" s="1"/>
  <c r="U41" i="1"/>
  <c r="U77" i="1" s="1"/>
  <c r="M41" i="1"/>
  <c r="M77" i="1" s="1"/>
  <c r="G38" i="1"/>
  <c r="G76" i="1" s="1"/>
  <c r="T41" i="1"/>
  <c r="T77" i="1" s="1"/>
  <c r="L41" i="1"/>
  <c r="L77" i="1" s="1"/>
  <c r="E41" i="1"/>
  <c r="E77" i="1" s="1"/>
  <c r="R41" i="1"/>
  <c r="R77" i="1" s="1"/>
  <c r="I41" i="1"/>
  <c r="I77" i="1" s="1"/>
  <c r="W38" i="1"/>
  <c r="W76" i="1" s="1"/>
  <c r="J41" i="1"/>
  <c r="J77" i="1" s="1"/>
  <c r="Q41" i="1"/>
  <c r="Q77" i="1" s="1"/>
  <c r="I26" i="1"/>
  <c r="I72" i="1" s="1"/>
  <c r="I38" i="1"/>
  <c r="I76" i="1" s="1"/>
  <c r="F41" i="1"/>
  <c r="F77" i="1" s="1"/>
  <c r="N41" i="1"/>
  <c r="N77" i="1" s="1"/>
  <c r="V41" i="1"/>
  <c r="V77" i="1" s="1"/>
  <c r="Q32" i="1"/>
  <c r="Q74" i="1" s="1"/>
  <c r="Q35" i="1"/>
  <c r="Q75" i="1" s="1"/>
  <c r="X38" i="1"/>
  <c r="X76" i="1" s="1"/>
  <c r="H38" i="1"/>
  <c r="H76" i="1" s="1"/>
  <c r="O38" i="1"/>
  <c r="O76" i="1" s="1"/>
  <c r="G41" i="1"/>
  <c r="G77" i="1" s="1"/>
  <c r="O41" i="1"/>
  <c r="O77" i="1" s="1"/>
  <c r="W41" i="1"/>
  <c r="W77" i="1" s="1"/>
  <c r="Q38" i="1"/>
  <c r="Q76" i="1" s="1"/>
  <c r="P38" i="1"/>
  <c r="P76" i="1" s="1"/>
  <c r="R29" i="1"/>
  <c r="R73" i="1" s="1"/>
  <c r="R38" i="1"/>
  <c r="R76" i="1" s="1"/>
  <c r="R35" i="1"/>
  <c r="R75" i="1" s="1"/>
  <c r="R32" i="1"/>
  <c r="R74" i="1" s="1"/>
  <c r="R26" i="1"/>
  <c r="R72" i="1" s="1"/>
  <c r="S26" i="1"/>
  <c r="S72" i="1" s="1"/>
  <c r="S38" i="1"/>
  <c r="S76" i="1" s="1"/>
  <c r="S35" i="1"/>
  <c r="S75" i="1" s="1"/>
  <c r="S32" i="1"/>
  <c r="S74" i="1" s="1"/>
  <c r="J26" i="1"/>
  <c r="J72" i="1" s="1"/>
  <c r="J38" i="1"/>
  <c r="J76" i="1" s="1"/>
  <c r="T35" i="1"/>
  <c r="T75" i="1" s="1"/>
  <c r="K38" i="1"/>
  <c r="K76" i="1" s="1"/>
  <c r="I35" i="1"/>
  <c r="I75" i="1" s="1"/>
  <c r="L38" i="1"/>
  <c r="L76" i="1" s="1"/>
  <c r="T38" i="1"/>
  <c r="T76" i="1" s="1"/>
  <c r="Q29" i="1"/>
  <c r="Q73" i="1" s="1"/>
  <c r="J35" i="1"/>
  <c r="J75" i="1" s="1"/>
  <c r="E38" i="1"/>
  <c r="E76" i="1" s="1"/>
  <c r="M38" i="1"/>
  <c r="M76" i="1" s="1"/>
  <c r="U38" i="1"/>
  <c r="U76" i="1" s="1"/>
  <c r="K35" i="1"/>
  <c r="K75" i="1" s="1"/>
  <c r="F38" i="1"/>
  <c r="F76" i="1" s="1"/>
  <c r="N38" i="1"/>
  <c r="N76" i="1" s="1"/>
  <c r="V38" i="1"/>
  <c r="V76" i="1" s="1"/>
  <c r="L35" i="1"/>
  <c r="L75" i="1" s="1"/>
  <c r="X32" i="1"/>
  <c r="X74" i="1" s="1"/>
  <c r="X35" i="1"/>
  <c r="X75" i="1" s="1"/>
  <c r="X29" i="1"/>
  <c r="X73" i="1" s="1"/>
  <c r="P32" i="1"/>
  <c r="P74" i="1" s="1"/>
  <c r="P35" i="1"/>
  <c r="P75" i="1" s="1"/>
  <c r="P26" i="1"/>
  <c r="P72" i="1" s="1"/>
  <c r="P29" i="1"/>
  <c r="P73" i="1" s="1"/>
  <c r="H32" i="1"/>
  <c r="H74" i="1" s="1"/>
  <c r="H35" i="1"/>
  <c r="H75" i="1" s="1"/>
  <c r="H29" i="1"/>
  <c r="H73" i="1" s="1"/>
  <c r="G35" i="1"/>
  <c r="G75" i="1" s="1"/>
  <c r="G29" i="1"/>
  <c r="G73" i="1" s="1"/>
  <c r="G26" i="1"/>
  <c r="G72" i="1" s="1"/>
  <c r="M35" i="1"/>
  <c r="M75" i="1" s="1"/>
  <c r="I32" i="1"/>
  <c r="I74" i="1" s="1"/>
  <c r="F35" i="1"/>
  <c r="F75" i="1" s="1"/>
  <c r="N35" i="1"/>
  <c r="N75" i="1" s="1"/>
  <c r="V35" i="1"/>
  <c r="V75" i="1" s="1"/>
  <c r="E35" i="1"/>
  <c r="E75" i="1" s="1"/>
  <c r="J32" i="1"/>
  <c r="J74" i="1" s="1"/>
  <c r="O35" i="1"/>
  <c r="O75" i="1" s="1"/>
  <c r="W35" i="1"/>
  <c r="W75" i="1" s="1"/>
  <c r="U35" i="1"/>
  <c r="U75" i="1" s="1"/>
  <c r="K26" i="1"/>
  <c r="K72" i="1" s="1"/>
  <c r="J29" i="1"/>
  <c r="J73" i="1" s="1"/>
  <c r="K32" i="1"/>
  <c r="K74" i="1" s="1"/>
  <c r="O29" i="1"/>
  <c r="O73" i="1" s="1"/>
  <c r="E72" i="1"/>
  <c r="X26" i="1"/>
  <c r="X72" i="1" s="1"/>
  <c r="L32" i="1"/>
  <c r="L74" i="1" s="1"/>
  <c r="O26" i="1"/>
  <c r="O72" i="1" s="1"/>
  <c r="S29" i="1"/>
  <c r="S73" i="1" s="1"/>
  <c r="V26" i="1"/>
  <c r="V72" i="1" s="1"/>
  <c r="N26" i="1"/>
  <c r="N72" i="1" s="1"/>
  <c r="F26" i="1"/>
  <c r="F72" i="1" s="1"/>
  <c r="L29" i="1"/>
  <c r="L73" i="1" s="1"/>
  <c r="T29" i="1"/>
  <c r="T73" i="1" s="1"/>
  <c r="F32" i="1"/>
  <c r="F74" i="1" s="1"/>
  <c r="N32" i="1"/>
  <c r="N74" i="1" s="1"/>
  <c r="V32" i="1"/>
  <c r="V74" i="1" s="1"/>
  <c r="W26" i="1"/>
  <c r="W72" i="1" s="1"/>
  <c r="K29" i="1"/>
  <c r="K73" i="1" s="1"/>
  <c r="M29" i="1"/>
  <c r="M73" i="1" s="1"/>
  <c r="U29" i="1"/>
  <c r="U73" i="1" s="1"/>
  <c r="G32" i="1"/>
  <c r="G74" i="1" s="1"/>
  <c r="W32" i="1"/>
  <c r="W74" i="1" s="1"/>
  <c r="E29" i="1"/>
  <c r="E73" i="1" s="1"/>
  <c r="H26" i="1"/>
  <c r="H72" i="1" s="1"/>
  <c r="T32" i="1"/>
  <c r="T74" i="1" s="1"/>
  <c r="E32" i="1"/>
  <c r="E74" i="1" s="1"/>
  <c r="M32" i="1"/>
  <c r="M74" i="1" s="1"/>
  <c r="U32" i="1"/>
  <c r="U74" i="1" s="1"/>
  <c r="U26" i="1"/>
  <c r="U72" i="1" s="1"/>
  <c r="M26" i="1"/>
  <c r="M72" i="1" s="1"/>
  <c r="T26" i="1"/>
  <c r="T72" i="1" s="1"/>
  <c r="L26" i="1"/>
  <c r="L72" i="1" s="1"/>
  <c r="F29" i="1"/>
  <c r="F73" i="1" s="1"/>
  <c r="N29" i="1"/>
  <c r="N73" i="1" s="1"/>
  <c r="V29" i="1"/>
  <c r="V73" i="1" s="1"/>
  <c r="E65" i="2"/>
  <c r="H44" i="1" l="1"/>
  <c r="I44" i="1"/>
  <c r="N44" i="1"/>
  <c r="P44" i="1"/>
  <c r="Q44" i="1"/>
  <c r="R44" i="1"/>
  <c r="S44" i="1"/>
  <c r="T44" i="1"/>
  <c r="U44" i="1"/>
  <c r="V44" i="1"/>
  <c r="W44" i="1"/>
  <c r="X44" i="1"/>
  <c r="G81" i="1"/>
  <c r="H81" i="1"/>
  <c r="I81" i="1"/>
  <c r="J81" i="1"/>
  <c r="K81" i="1"/>
  <c r="L81" i="1"/>
  <c r="M81" i="1"/>
  <c r="N81" i="1"/>
  <c r="O81" i="1"/>
  <c r="P81" i="1"/>
  <c r="Q81" i="1"/>
  <c r="R81" i="1"/>
  <c r="S81" i="1"/>
  <c r="T81" i="1"/>
  <c r="U81" i="1"/>
  <c r="V81" i="1"/>
  <c r="W81" i="1"/>
  <c r="X81" i="1"/>
  <c r="G133" i="1" l="1"/>
  <c r="N133" i="1"/>
  <c r="F133" i="1"/>
  <c r="O133" i="1"/>
  <c r="W133" i="1"/>
  <c r="H133" i="1"/>
  <c r="P133" i="1"/>
  <c r="X133" i="1"/>
  <c r="S133" i="1"/>
  <c r="I133" i="1"/>
  <c r="Q133" i="1"/>
  <c r="E133" i="1"/>
  <c r="J133" i="1"/>
  <c r="R133" i="1"/>
  <c r="K133" i="1"/>
  <c r="L133" i="1"/>
  <c r="T133" i="1"/>
  <c r="M133" i="1"/>
  <c r="U133" i="1"/>
  <c r="V133" i="1"/>
  <c r="Z45" i="1"/>
  <c r="F16" i="3" s="1"/>
  <c r="Z14" i="1" l="1"/>
  <c r="T78" i="1"/>
  <c r="Q78" i="1"/>
  <c r="L78" i="1"/>
  <c r="L106" i="1" s="1"/>
  <c r="I78" i="1"/>
  <c r="X78" i="1"/>
  <c r="P78" i="1"/>
  <c r="H78" i="1"/>
  <c r="J78" i="1"/>
  <c r="R78" i="1"/>
  <c r="W78" i="1"/>
  <c r="O78" i="1"/>
  <c r="G78" i="1"/>
  <c r="U78" i="1"/>
  <c r="M78" i="1"/>
  <c r="V78" i="1"/>
  <c r="N78" i="1"/>
  <c r="F78" i="1"/>
  <c r="S78" i="1"/>
  <c r="K78" i="1"/>
  <c r="E78" i="1"/>
  <c r="L103" i="1" l="1"/>
  <c r="L104" i="1"/>
  <c r="L105" i="1"/>
  <c r="Q103" i="1"/>
  <c r="T103" i="1"/>
  <c r="L101" i="1"/>
  <c r="T102" i="1"/>
  <c r="T104" i="1"/>
  <c r="T105" i="1"/>
  <c r="Q106" i="1"/>
  <c r="T106" i="1"/>
  <c r="L102" i="1"/>
  <c r="Q102" i="1"/>
  <c r="Q104" i="1"/>
  <c r="Q105" i="1"/>
  <c r="Q101" i="1"/>
  <c r="T101" i="1"/>
  <c r="K105" i="1"/>
  <c r="K103" i="1"/>
  <c r="K106" i="1"/>
  <c r="K101" i="1"/>
  <c r="K104" i="1"/>
  <c r="K102" i="1"/>
  <c r="G101" i="1"/>
  <c r="G104" i="1"/>
  <c r="G105" i="1"/>
  <c r="G103" i="1"/>
  <c r="G106" i="1"/>
  <c r="O101" i="1"/>
  <c r="O104" i="1"/>
  <c r="O102" i="1"/>
  <c r="O105" i="1"/>
  <c r="O103" i="1"/>
  <c r="O106" i="1"/>
  <c r="P106" i="1"/>
  <c r="P101" i="1"/>
  <c r="P104" i="1"/>
  <c r="P102" i="1"/>
  <c r="P105" i="1"/>
  <c r="P103" i="1"/>
  <c r="S105" i="1"/>
  <c r="S103" i="1"/>
  <c r="S106" i="1"/>
  <c r="S101" i="1"/>
  <c r="S104" i="1"/>
  <c r="S102" i="1"/>
  <c r="I103" i="1"/>
  <c r="I106" i="1"/>
  <c r="I101" i="1"/>
  <c r="I104" i="1"/>
  <c r="I102" i="1"/>
  <c r="I105" i="1"/>
  <c r="W101" i="1"/>
  <c r="W104" i="1"/>
  <c r="W102" i="1"/>
  <c r="W105" i="1"/>
  <c r="W103" i="1"/>
  <c r="W106" i="1"/>
  <c r="V104" i="1"/>
  <c r="V102" i="1"/>
  <c r="V105" i="1"/>
  <c r="V103" i="1"/>
  <c r="V106" i="1"/>
  <c r="V101" i="1"/>
  <c r="X106" i="1"/>
  <c r="X101" i="1"/>
  <c r="X104" i="1"/>
  <c r="X102" i="1"/>
  <c r="X105" i="1"/>
  <c r="X103" i="1"/>
  <c r="M102" i="1"/>
  <c r="M105" i="1"/>
  <c r="M103" i="1"/>
  <c r="M106" i="1"/>
  <c r="M101" i="1"/>
  <c r="M104" i="1"/>
  <c r="R103" i="1"/>
  <c r="R106" i="1"/>
  <c r="R101" i="1"/>
  <c r="R104" i="1"/>
  <c r="R102" i="1"/>
  <c r="R105" i="1"/>
  <c r="J103" i="1"/>
  <c r="J106" i="1"/>
  <c r="J101" i="1"/>
  <c r="J104" i="1"/>
  <c r="J102" i="1"/>
  <c r="J105" i="1"/>
  <c r="H106" i="1"/>
  <c r="H101" i="1"/>
  <c r="H104" i="1"/>
  <c r="H102" i="1"/>
  <c r="H105" i="1"/>
  <c r="H103" i="1"/>
  <c r="N104" i="1"/>
  <c r="N102" i="1"/>
  <c r="N105" i="1"/>
  <c r="N103" i="1"/>
  <c r="N106" i="1"/>
  <c r="N101" i="1"/>
  <c r="U102" i="1"/>
  <c r="U105" i="1"/>
  <c r="U103" i="1"/>
  <c r="U106" i="1"/>
  <c r="U101" i="1"/>
  <c r="U104" i="1"/>
  <c r="Z78" i="1"/>
  <c r="L107" i="1" l="1"/>
  <c r="T107" i="1"/>
  <c r="O107" i="1"/>
  <c r="V107" i="1"/>
  <c r="K107" i="1"/>
  <c r="Q107" i="1"/>
  <c r="U107" i="1"/>
  <c r="H107" i="1"/>
  <c r="W107" i="1"/>
  <c r="S107" i="1"/>
  <c r="P107" i="1"/>
  <c r="J107" i="1"/>
  <c r="R107" i="1"/>
  <c r="X107" i="1"/>
  <c r="M107" i="1"/>
  <c r="N107" i="1"/>
  <c r="I107" i="1"/>
  <c r="C61" i="2" l="1"/>
  <c r="C60" i="2"/>
  <c r="A1" i="2" l="1"/>
  <c r="A16" i="2"/>
  <c r="H3" i="4"/>
  <c r="H2" i="4"/>
  <c r="A1" i="4" s="1"/>
  <c r="H1" i="4"/>
  <c r="D195" i="4" l="1"/>
  <c r="D203" i="4"/>
  <c r="D181" i="4"/>
  <c r="D189" i="4"/>
  <c r="D204" i="4"/>
  <c r="D182" i="4"/>
  <c r="D208" i="4"/>
  <c r="D187" i="4"/>
  <c r="D196" i="4"/>
  <c r="D190" i="4"/>
  <c r="D188" i="4"/>
  <c r="D197" i="4"/>
  <c r="D205" i="4"/>
  <c r="D183" i="4"/>
  <c r="D191" i="4"/>
  <c r="D207" i="4"/>
  <c r="D193" i="4"/>
  <c r="B83" i="2" s="1"/>
  <c r="D194" i="4"/>
  <c r="D179" i="4"/>
  <c r="D198" i="4"/>
  <c r="D206" i="4"/>
  <c r="D184" i="4"/>
  <c r="E64" i="2" s="1"/>
  <c r="D192" i="4"/>
  <c r="B82" i="2" s="1"/>
  <c r="D185" i="4"/>
  <c r="C14" i="1" s="1"/>
  <c r="D186" i="4"/>
  <c r="D180" i="4"/>
  <c r="D199" i="4"/>
  <c r="D200" i="4"/>
  <c r="D201" i="4"/>
  <c r="D202" i="4"/>
  <c r="D4" i="4"/>
  <c r="D102" i="4"/>
  <c r="D176" i="4"/>
  <c r="D108" i="4"/>
  <c r="D177" i="4"/>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D169" i="4"/>
  <c r="D161" i="4"/>
  <c r="D153" i="4"/>
  <c r="D145" i="4"/>
  <c r="D137" i="4"/>
  <c r="D129" i="4"/>
  <c r="D120" i="4"/>
  <c r="D112" i="4"/>
  <c r="D104" i="4"/>
  <c r="D96" i="4"/>
  <c r="D88" i="4"/>
  <c r="D80" i="4"/>
  <c r="D72" i="4"/>
  <c r="C2" i="3" s="1"/>
  <c r="D64" i="4"/>
  <c r="D56" i="4"/>
  <c r="D48" i="4"/>
  <c r="D119" i="4"/>
  <c r="D111" i="4"/>
  <c r="D103" i="4"/>
  <c r="D95" i="4"/>
  <c r="D87" i="4"/>
  <c r="D79" i="4"/>
  <c r="D71" i="4"/>
  <c r="D63" i="4"/>
  <c r="D55" i="4"/>
  <c r="D47" i="4"/>
  <c r="D113" i="4"/>
  <c r="D97" i="4"/>
  <c r="D81" i="4"/>
  <c r="D65" i="4"/>
  <c r="D57" i="4"/>
  <c r="D118" i="4"/>
  <c r="D86" i="4"/>
  <c r="D62" i="4"/>
  <c r="D117" i="4"/>
  <c r="D109" i="4"/>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D41" i="4"/>
  <c r="D46" i="4"/>
  <c r="D38" i="4"/>
  <c r="D30" i="4"/>
  <c r="D22" i="4"/>
  <c r="D6" i="4"/>
  <c r="D2" i="5" s="1"/>
  <c r="D45" i="4"/>
  <c r="D37" i="4"/>
  <c r="D29" i="4"/>
  <c r="D21" i="4"/>
  <c r="D13" i="4"/>
  <c r="D5" i="4"/>
  <c r="E2" i="5" l="1"/>
  <c r="F2" i="1"/>
  <c r="E2" i="3"/>
  <c r="C18" i="3"/>
  <c r="G2" i="5"/>
  <c r="B25" i="3"/>
  <c r="B19" i="5"/>
  <c r="B48" i="2"/>
  <c r="B35" i="2"/>
  <c r="B11" i="2"/>
  <c r="C169" i="1" s="1"/>
  <c r="B67" i="2"/>
  <c r="D84" i="1"/>
  <c r="C51" i="1"/>
  <c r="C23" i="1"/>
  <c r="C10" i="1"/>
  <c r="B8" i="2"/>
  <c r="C166" i="1" s="1"/>
  <c r="B41" i="2"/>
  <c r="B51" i="2"/>
  <c r="S5" i="1"/>
  <c r="B6" i="3"/>
  <c r="C9" i="1"/>
  <c r="C61" i="1"/>
  <c r="C33" i="2"/>
  <c r="B40" i="2"/>
  <c r="C48" i="1"/>
  <c r="C49" i="1"/>
  <c r="B43" i="2"/>
  <c r="B13" i="2"/>
  <c r="C171" i="1" s="1"/>
  <c r="AA60" i="1"/>
  <c r="B9" i="2"/>
  <c r="C167" i="1" s="1"/>
  <c r="C133" i="1"/>
  <c r="B4" i="5"/>
  <c r="N158" i="1"/>
  <c r="C21" i="1"/>
  <c r="A88" i="2"/>
  <c r="B17" i="3"/>
  <c r="C47" i="1"/>
  <c r="C68" i="1"/>
  <c r="B3" i="2"/>
  <c r="C160" i="1" s="1"/>
  <c r="B2" i="2"/>
  <c r="C159" i="1" s="1"/>
  <c r="H159" i="1" s="1"/>
  <c r="C161" i="1"/>
  <c r="B28" i="3" s="1"/>
  <c r="B18" i="2"/>
  <c r="B70" i="2" s="1"/>
  <c r="B39" i="2"/>
  <c r="P135" i="1" s="1"/>
  <c r="B50" i="2"/>
  <c r="B36" i="2"/>
  <c r="C81" i="1"/>
  <c r="A79" i="2"/>
  <c r="B24" i="3"/>
  <c r="B5" i="3"/>
  <c r="B44" i="3"/>
  <c r="B18" i="3"/>
  <c r="C50" i="1"/>
  <c r="B4" i="2"/>
  <c r="C162" i="1" s="1"/>
  <c r="B47" i="2"/>
  <c r="B19" i="2"/>
  <c r="B71" i="2" s="1"/>
  <c r="B12" i="2"/>
  <c r="C170" i="1" s="1"/>
  <c r="B18" i="5"/>
  <c r="B44" i="2"/>
  <c r="B42" i="3"/>
  <c r="C52" i="1"/>
  <c r="C17" i="1"/>
  <c r="C43" i="1"/>
  <c r="A82" i="2"/>
  <c r="AA155" i="1"/>
  <c r="C155" i="1"/>
  <c r="B16" i="3"/>
  <c r="B15" i="3"/>
  <c r="C55" i="1"/>
  <c r="C59" i="1"/>
  <c r="C32" i="1"/>
  <c r="C29" i="1"/>
  <c r="C41" i="1"/>
  <c r="C26" i="1"/>
  <c r="C35" i="1"/>
  <c r="C38" i="1"/>
  <c r="C58" i="1"/>
  <c r="C153" i="1" s="1"/>
  <c r="C57" i="1"/>
  <c r="C152" i="1" s="1"/>
  <c r="C25" i="1"/>
  <c r="C31" i="1"/>
  <c r="C28" i="1"/>
  <c r="C40" i="1"/>
  <c r="C37" i="1"/>
  <c r="C34" i="1"/>
  <c r="C80" i="1"/>
  <c r="B22" i="3"/>
  <c r="C157" i="1"/>
  <c r="B27" i="3"/>
  <c r="C54" i="1"/>
  <c r="B10" i="3"/>
  <c r="B11" i="3"/>
  <c r="B12" i="3"/>
  <c r="C116" i="1"/>
  <c r="C123" i="1" s="1"/>
  <c r="C124" i="1"/>
  <c r="C131" i="1" s="1"/>
  <c r="C44" i="1"/>
  <c r="C137" i="1"/>
  <c r="C53" i="1"/>
  <c r="C45" i="1"/>
  <c r="E8" i="1"/>
  <c r="N8" i="1"/>
  <c r="O8" i="1"/>
  <c r="P8" i="1"/>
  <c r="Q8" i="1"/>
  <c r="R8" i="1"/>
  <c r="S8" i="1"/>
  <c r="C42" i="1"/>
  <c r="B7" i="5"/>
  <c r="B42" i="2"/>
  <c r="B22" i="2"/>
  <c r="B74" i="2" s="1"/>
  <c r="B6" i="2"/>
  <c r="C11" i="1"/>
  <c r="B45" i="3"/>
  <c r="B38" i="2"/>
  <c r="B20" i="3"/>
  <c r="B10" i="2"/>
  <c r="B46" i="2"/>
  <c r="B16" i="2"/>
  <c r="B68" i="2" s="1"/>
  <c r="D1" i="2"/>
  <c r="C70" i="1"/>
  <c r="B43" i="3"/>
  <c r="E14" i="3"/>
  <c r="B52" i="2"/>
  <c r="M134" i="1" s="1"/>
  <c r="B37" i="2"/>
  <c r="B4" i="3"/>
  <c r="C79" i="1"/>
  <c r="B14" i="3"/>
  <c r="B20" i="2"/>
  <c r="B72" i="2" s="1"/>
  <c r="B21" i="2"/>
  <c r="B73" i="2" s="1"/>
  <c r="C60" i="1"/>
  <c r="B10" i="5"/>
  <c r="B45" i="2"/>
  <c r="B23" i="3"/>
  <c r="B17" i="2"/>
  <c r="B69" i="2" s="1"/>
  <c r="B49" i="2"/>
  <c r="B5" i="2"/>
  <c r="B53" i="2"/>
  <c r="N7" i="1"/>
  <c r="B7" i="2"/>
  <c r="B34" i="2"/>
  <c r="C1" i="2"/>
  <c r="B9" i="5"/>
  <c r="C19" i="1"/>
  <c r="B31" i="2"/>
  <c r="B13" i="3"/>
  <c r="C46" i="1"/>
  <c r="C20" i="1"/>
  <c r="C16" i="1"/>
  <c r="C13" i="1"/>
  <c r="C150" i="1"/>
  <c r="E12" i="5"/>
  <c r="G4" i="1"/>
  <c r="C12" i="1"/>
  <c r="C83" i="1"/>
  <c r="C89" i="1"/>
  <c r="C88" i="1"/>
  <c r="C86" i="1"/>
  <c r="C85" i="1"/>
  <c r="C87" i="1"/>
  <c r="C90" i="1"/>
  <c r="AA99" i="1"/>
  <c r="AA91" i="1"/>
  <c r="AA107" i="1"/>
  <c r="AA78" i="1"/>
  <c r="C108" i="1"/>
  <c r="C100" i="1"/>
  <c r="C99" i="1"/>
  <c r="C92" i="1"/>
  <c r="AA54" i="1"/>
  <c r="AA53" i="1"/>
  <c r="G151" i="1"/>
  <c r="O151" i="1"/>
  <c r="W151" i="1"/>
  <c r="L152" i="1"/>
  <c r="T152" i="1"/>
  <c r="H151" i="1"/>
  <c r="X151" i="1"/>
  <c r="M152" i="1"/>
  <c r="U152" i="1"/>
  <c r="G152" i="1"/>
  <c r="W152" i="1"/>
  <c r="S151" i="1"/>
  <c r="P151" i="1"/>
  <c r="R151" i="1"/>
  <c r="H152" i="1"/>
  <c r="I151" i="1"/>
  <c r="Q151" i="1"/>
  <c r="N152" i="1"/>
  <c r="V152" i="1"/>
  <c r="J151" i="1"/>
  <c r="O152" i="1"/>
  <c r="K151" i="1"/>
  <c r="P152" i="1"/>
  <c r="M151" i="1"/>
  <c r="M155" i="1" s="1"/>
  <c r="Q152" i="1"/>
  <c r="N151" i="1"/>
  <c r="R152" i="1"/>
  <c r="J152" i="1"/>
  <c r="K152" i="1"/>
  <c r="L151" i="1"/>
  <c r="T151" i="1"/>
  <c r="S152" i="1"/>
  <c r="U151" i="1"/>
  <c r="U155" i="1" s="1"/>
  <c r="V151" i="1"/>
  <c r="I152" i="1"/>
  <c r="A76" i="2"/>
  <c r="C145" i="1"/>
  <c r="C78" i="1"/>
  <c r="C71" i="1"/>
  <c r="C91" i="1"/>
  <c r="C84" i="1"/>
  <c r="C96" i="1"/>
  <c r="C98" i="1"/>
  <c r="C94" i="1"/>
  <c r="C93" i="1"/>
  <c r="C97" i="1"/>
  <c r="C95" i="1"/>
  <c r="C76" i="1"/>
  <c r="C75" i="1"/>
  <c r="C74" i="1"/>
  <c r="C72" i="1"/>
  <c r="C77" i="1"/>
  <c r="C73" i="1"/>
  <c r="C115" i="1"/>
  <c r="C107" i="1"/>
  <c r="B24" i="2"/>
  <c r="F20" i="1" s="1"/>
  <c r="C56" i="2"/>
  <c r="B25" i="2"/>
  <c r="M161" i="1" s="1"/>
  <c r="A57" i="2"/>
  <c r="A60" i="2"/>
  <c r="B57" i="2"/>
  <c r="B76" i="2"/>
  <c r="B58" i="2"/>
  <c r="B77" i="2"/>
  <c r="B30" i="1"/>
  <c r="B27" i="1"/>
  <c r="B24" i="1"/>
  <c r="B39" i="1"/>
  <c r="B36" i="1"/>
  <c r="B33" i="1"/>
  <c r="C39" i="1"/>
  <c r="C30" i="1"/>
  <c r="C36" i="1"/>
  <c r="C27" i="1"/>
  <c r="C24" i="1"/>
  <c r="C33" i="1"/>
  <c r="C22" i="1"/>
  <c r="A24" i="2"/>
  <c r="C15" i="1"/>
  <c r="E1" i="2"/>
  <c r="C136" i="1"/>
  <c r="A65" i="2"/>
  <c r="C64" i="2"/>
  <c r="C132" i="1"/>
  <c r="C135" i="1"/>
  <c r="B65" i="2"/>
  <c r="C134" i="1"/>
  <c r="B66" i="2"/>
  <c r="C64" i="1"/>
  <c r="C63" i="1"/>
  <c r="C66" i="1"/>
  <c r="C65" i="1"/>
  <c r="E14" i="5"/>
  <c r="E4" i="1"/>
  <c r="E16" i="5"/>
  <c r="H4" i="1"/>
  <c r="E10" i="5"/>
  <c r="F4" i="1"/>
  <c r="B5" i="5"/>
  <c r="AA154" i="1"/>
  <c r="C56" i="1"/>
  <c r="C151" i="1" s="1"/>
  <c r="B41" i="3"/>
  <c r="B46" i="3"/>
  <c r="B8" i="3"/>
  <c r="B7" i="3"/>
  <c r="C62" i="1"/>
  <c r="B9" i="3"/>
  <c r="X8" i="1"/>
  <c r="F8" i="1"/>
  <c r="AA45" i="1"/>
  <c r="AA44" i="1"/>
  <c r="AA148" i="1"/>
  <c r="AA64" i="1"/>
  <c r="AA65" i="1"/>
  <c r="AA66" i="1"/>
  <c r="AA63" i="1"/>
  <c r="C146" i="1"/>
  <c r="C147" i="1"/>
  <c r="C148" i="1"/>
  <c r="AA147" i="1"/>
  <c r="AA146" i="1"/>
  <c r="AA50" i="1"/>
  <c r="AA14" i="1"/>
  <c r="A34" i="2"/>
  <c r="D5" i="3"/>
  <c r="F21" i="3"/>
  <c r="F5" i="3"/>
  <c r="G5" i="3"/>
  <c r="H2" i="1"/>
  <c r="G2" i="3"/>
  <c r="B28" i="2"/>
  <c r="B30" i="2"/>
  <c r="B26" i="2"/>
  <c r="B29" i="2"/>
  <c r="C18" i="1"/>
  <c r="A28" i="2"/>
  <c r="A2" i="2"/>
  <c r="H8" i="1"/>
  <c r="U8" i="1"/>
  <c r="J8" i="1"/>
  <c r="L8" i="1"/>
  <c r="T8" i="1"/>
  <c r="V8" i="1"/>
  <c r="G8" i="1"/>
  <c r="I8" i="1"/>
  <c r="W8" i="1"/>
  <c r="M8" i="1"/>
  <c r="K8" i="1"/>
  <c r="E159" i="1" l="1"/>
  <c r="J159" i="1"/>
  <c r="G159" i="1"/>
  <c r="F159" i="1"/>
  <c r="L159" i="1"/>
  <c r="I159" i="1"/>
  <c r="J135" i="1"/>
  <c r="W135" i="1"/>
  <c r="E135" i="1"/>
  <c r="I135" i="1"/>
  <c r="O135" i="1"/>
  <c r="U135" i="1"/>
  <c r="H135" i="1"/>
  <c r="V135" i="1"/>
  <c r="M135" i="1"/>
  <c r="G135" i="1"/>
  <c r="N135" i="1"/>
  <c r="T135" i="1"/>
  <c r="R135" i="1"/>
  <c r="F135" i="1"/>
  <c r="L135" i="1"/>
  <c r="Q135" i="1"/>
  <c r="S135" i="1"/>
  <c r="X135" i="1"/>
  <c r="K135" i="1"/>
  <c r="E81" i="1"/>
  <c r="E136" i="1"/>
  <c r="E12" i="3"/>
  <c r="E10" i="3"/>
  <c r="G10" i="3" s="1"/>
  <c r="E11" i="3"/>
  <c r="F12" i="3"/>
  <c r="F10" i="3"/>
  <c r="F11" i="3"/>
  <c r="L158" i="1"/>
  <c r="L155" i="1"/>
  <c r="T155" i="1"/>
  <c r="V155" i="1"/>
  <c r="J155" i="1"/>
  <c r="O155" i="1"/>
  <c r="E153" i="1"/>
  <c r="F153" i="1"/>
  <c r="E152" i="1"/>
  <c r="I155" i="1"/>
  <c r="X155" i="1"/>
  <c r="K155" i="1"/>
  <c r="R155" i="1"/>
  <c r="H155" i="1"/>
  <c r="Q155" i="1"/>
  <c r="P155" i="1"/>
  <c r="G155" i="1"/>
  <c r="S155" i="1"/>
  <c r="N155" i="1"/>
  <c r="W155" i="1"/>
  <c r="E171" i="1"/>
  <c r="F171" i="1"/>
  <c r="G171" i="1"/>
  <c r="J171" i="1"/>
  <c r="H171" i="1"/>
  <c r="I171" i="1"/>
  <c r="E167" i="1"/>
  <c r="F167" i="1"/>
  <c r="G167" i="1"/>
  <c r="J167" i="1"/>
  <c r="H167" i="1"/>
  <c r="I167" i="1"/>
  <c r="J166" i="1"/>
  <c r="I166" i="1"/>
  <c r="E166" i="1"/>
  <c r="H166" i="1"/>
  <c r="F166" i="1"/>
  <c r="G166" i="1"/>
  <c r="I169" i="1"/>
  <c r="J169" i="1"/>
  <c r="G169" i="1"/>
  <c r="H169" i="1"/>
  <c r="F169" i="1"/>
  <c r="E169" i="1"/>
  <c r="L160" i="1"/>
  <c r="I160" i="1"/>
  <c r="H160" i="1"/>
  <c r="J160" i="1"/>
  <c r="F160" i="1"/>
  <c r="E160" i="1"/>
  <c r="G160" i="1"/>
  <c r="E170" i="1"/>
  <c r="H170" i="1"/>
  <c r="I170" i="1"/>
  <c r="J170" i="1"/>
  <c r="F170" i="1"/>
  <c r="G170" i="1"/>
  <c r="H162" i="1"/>
  <c r="G162" i="1"/>
  <c r="J162" i="1"/>
  <c r="F162" i="1"/>
  <c r="I162" i="1"/>
  <c r="E162" i="1"/>
  <c r="E148" i="1"/>
  <c r="K136" i="1"/>
  <c r="S136" i="1"/>
  <c r="L136" i="1"/>
  <c r="T136" i="1"/>
  <c r="M136" i="1"/>
  <c r="U136" i="1"/>
  <c r="F136" i="1"/>
  <c r="N136" i="1"/>
  <c r="V136" i="1"/>
  <c r="G136" i="1"/>
  <c r="O136" i="1"/>
  <c r="W136" i="1"/>
  <c r="H136" i="1"/>
  <c r="P136" i="1"/>
  <c r="X136" i="1"/>
  <c r="I136" i="1"/>
  <c r="Q136" i="1"/>
  <c r="J136" i="1"/>
  <c r="R136" i="1"/>
  <c r="K158" i="1"/>
  <c r="E146" i="1"/>
  <c r="L162" i="1"/>
  <c r="B29" i="3"/>
  <c r="L167" i="1"/>
  <c r="B34" i="3"/>
  <c r="L171" i="1"/>
  <c r="B38" i="3"/>
  <c r="L166" i="1"/>
  <c r="B33" i="3"/>
  <c r="L169" i="1"/>
  <c r="B36" i="3"/>
  <c r="L170" i="1"/>
  <c r="B37" i="3"/>
  <c r="M158" i="1"/>
  <c r="C163" i="1"/>
  <c r="C164" i="1"/>
  <c r="C168" i="1"/>
  <c r="C165" i="1"/>
  <c r="C140" i="1"/>
  <c r="G158" i="1"/>
  <c r="C141" i="1"/>
  <c r="H158" i="1"/>
  <c r="C142" i="1"/>
  <c r="I158" i="1"/>
  <c r="C138" i="1"/>
  <c r="E158" i="1"/>
  <c r="C139" i="1"/>
  <c r="F158" i="1"/>
  <c r="C143" i="1"/>
  <c r="J158" i="1"/>
  <c r="F148" i="1"/>
  <c r="G148" i="1"/>
  <c r="O148" i="1"/>
  <c r="W148" i="1"/>
  <c r="Q148" i="1"/>
  <c r="H148" i="1"/>
  <c r="P148" i="1"/>
  <c r="X148" i="1"/>
  <c r="R148" i="1"/>
  <c r="I148" i="1"/>
  <c r="J148" i="1"/>
  <c r="K148" i="1"/>
  <c r="S148" i="1"/>
  <c r="T148" i="1"/>
  <c r="L148" i="1"/>
  <c r="M148" i="1"/>
  <c r="U148" i="1"/>
  <c r="N148" i="1"/>
  <c r="V148" i="1"/>
  <c r="F151" i="1"/>
  <c r="E151" i="1"/>
  <c r="F81" i="1"/>
  <c r="F152" i="1"/>
  <c r="AA15" i="1"/>
  <c r="Z15" i="1" s="1"/>
  <c r="E20" i="1"/>
  <c r="B60" i="2"/>
  <c r="AA16" i="1"/>
  <c r="Z16" i="1" s="1"/>
  <c r="AA18" i="1"/>
  <c r="Z18" i="1" s="1"/>
  <c r="F25" i="3" s="1"/>
  <c r="C119" i="1"/>
  <c r="C127" i="1"/>
  <c r="C120" i="1"/>
  <c r="C128" i="1"/>
  <c r="C121" i="1"/>
  <c r="C129" i="1"/>
  <c r="C118" i="1"/>
  <c r="C126" i="1"/>
  <c r="C117" i="1"/>
  <c r="C125" i="1"/>
  <c r="C122" i="1"/>
  <c r="C130" i="1"/>
  <c r="I134" i="1"/>
  <c r="Q134" i="1"/>
  <c r="E134" i="1"/>
  <c r="O134" i="1"/>
  <c r="G134" i="1"/>
  <c r="X134" i="1"/>
  <c r="T134" i="1"/>
  <c r="V134" i="1"/>
  <c r="S134" i="1"/>
  <c r="F134" i="1"/>
  <c r="K134" i="1"/>
  <c r="P134" i="1"/>
  <c r="L134" i="1"/>
  <c r="U134" i="1"/>
  <c r="R134" i="1"/>
  <c r="N134" i="1"/>
  <c r="H134" i="1"/>
  <c r="J134" i="1"/>
  <c r="W134" i="1"/>
  <c r="H12" i="3"/>
  <c r="I84" i="1"/>
  <c r="Q84" i="1"/>
  <c r="T84" i="1"/>
  <c r="M84" i="1"/>
  <c r="F84" i="1"/>
  <c r="J84" i="1"/>
  <c r="R84" i="1"/>
  <c r="E84" i="1"/>
  <c r="E85" i="1" s="1"/>
  <c r="U84" i="1"/>
  <c r="V84" i="1"/>
  <c r="K84" i="1"/>
  <c r="S84" i="1"/>
  <c r="L84" i="1"/>
  <c r="N84" i="1"/>
  <c r="G84" i="1"/>
  <c r="O84" i="1"/>
  <c r="W84" i="1"/>
  <c r="H84" i="1"/>
  <c r="P84" i="1"/>
  <c r="X84" i="1"/>
  <c r="N20" i="1"/>
  <c r="O20" i="1"/>
  <c r="O146" i="1"/>
  <c r="P146" i="1"/>
  <c r="P20" i="1"/>
  <c r="Q20" i="1"/>
  <c r="R20" i="1"/>
  <c r="S20" i="1"/>
  <c r="R146" i="1"/>
  <c r="S146" i="1"/>
  <c r="T146" i="1"/>
  <c r="Q146" i="1"/>
  <c r="G146" i="1"/>
  <c r="V146" i="1"/>
  <c r="I146" i="1"/>
  <c r="H146" i="1"/>
  <c r="L146" i="1"/>
  <c r="X146" i="1"/>
  <c r="N146" i="1"/>
  <c r="W146" i="1"/>
  <c r="J146" i="1"/>
  <c r="K146" i="1"/>
  <c r="M146" i="1"/>
  <c r="U146" i="1"/>
  <c r="F146" i="1"/>
  <c r="V20" i="1"/>
  <c r="J20" i="1"/>
  <c r="H20" i="1"/>
  <c r="W20" i="1"/>
  <c r="U20" i="1"/>
  <c r="I20" i="1"/>
  <c r="X20" i="1"/>
  <c r="L20" i="1"/>
  <c r="G20" i="1"/>
  <c r="M20" i="1"/>
  <c r="T20" i="1"/>
  <c r="K20" i="1"/>
  <c r="C102" i="1"/>
  <c r="C110" i="1"/>
  <c r="C106" i="1"/>
  <c r="C114" i="1"/>
  <c r="C101" i="1"/>
  <c r="C109" i="1"/>
  <c r="C103" i="1"/>
  <c r="C111" i="1"/>
  <c r="C112" i="1"/>
  <c r="C104" i="1"/>
  <c r="C113" i="1"/>
  <c r="C105" i="1"/>
  <c r="B61" i="2"/>
  <c r="E161" i="1" l="1"/>
  <c r="L161" i="1"/>
  <c r="F80" i="1"/>
  <c r="F44" i="1" s="1"/>
  <c r="P80" i="1"/>
  <c r="U80" i="1"/>
  <c r="S80" i="1"/>
  <c r="I80" i="1"/>
  <c r="L80" i="1"/>
  <c r="R80" i="1"/>
  <c r="T80" i="1"/>
  <c r="Q80" i="1"/>
  <c r="H80" i="1"/>
  <c r="O80" i="1"/>
  <c r="O44" i="1" s="1"/>
  <c r="K80" i="1"/>
  <c r="E80" i="1"/>
  <c r="E44" i="1" s="1"/>
  <c r="W80" i="1"/>
  <c r="G80" i="1"/>
  <c r="G44" i="1" s="1"/>
  <c r="M80" i="1"/>
  <c r="N80" i="1"/>
  <c r="X80" i="1"/>
  <c r="J80" i="1"/>
  <c r="V80" i="1"/>
  <c r="Z153" i="1"/>
  <c r="Z152" i="1"/>
  <c r="F155" i="1"/>
  <c r="Z151" i="1"/>
  <c r="E155" i="1"/>
  <c r="I165" i="1"/>
  <c r="J165" i="1"/>
  <c r="G165" i="1"/>
  <c r="F165" i="1"/>
  <c r="H165" i="1"/>
  <c r="E165" i="1"/>
  <c r="G168" i="1"/>
  <c r="H168" i="1"/>
  <c r="I168" i="1"/>
  <c r="E168" i="1"/>
  <c r="F168" i="1"/>
  <c r="J168" i="1"/>
  <c r="G164" i="1"/>
  <c r="H164" i="1"/>
  <c r="I164" i="1"/>
  <c r="E164" i="1"/>
  <c r="J164" i="1"/>
  <c r="F164" i="1"/>
  <c r="E163" i="1"/>
  <c r="F163" i="1"/>
  <c r="G163" i="1"/>
  <c r="J163" i="1"/>
  <c r="H163" i="1"/>
  <c r="I163" i="1"/>
  <c r="L168" i="1"/>
  <c r="B35" i="3"/>
  <c r="L165" i="1"/>
  <c r="B32" i="3"/>
  <c r="L163" i="1"/>
  <c r="B30" i="3"/>
  <c r="L164" i="1"/>
  <c r="B31" i="3"/>
  <c r="I161" i="1"/>
  <c r="G161" i="1"/>
  <c r="K171" i="1"/>
  <c r="N171" i="1" s="1"/>
  <c r="F38" i="3" s="1"/>
  <c r="H161" i="1"/>
  <c r="F161" i="1"/>
  <c r="K159" i="1"/>
  <c r="K166" i="1"/>
  <c r="N166" i="1" s="1"/>
  <c r="F33" i="3" s="1"/>
  <c r="K169" i="1"/>
  <c r="N169" i="1" s="1"/>
  <c r="F36" i="3" s="1"/>
  <c r="K167" i="1"/>
  <c r="N167" i="1" s="1"/>
  <c r="F34" i="3" s="1"/>
  <c r="K160" i="1"/>
  <c r="K162" i="1"/>
  <c r="N162" i="1" s="1"/>
  <c r="F29" i="3" s="1"/>
  <c r="K170" i="1"/>
  <c r="N170" i="1" s="1"/>
  <c r="F37" i="3" s="1"/>
  <c r="J161" i="1"/>
  <c r="Z148" i="1"/>
  <c r="G85" i="1"/>
  <c r="G89" i="1"/>
  <c r="G86" i="1"/>
  <c r="G102" i="1" s="1"/>
  <c r="G107" i="1" s="1"/>
  <c r="G90" i="1"/>
  <c r="G88" i="1"/>
  <c r="G87" i="1"/>
  <c r="N89" i="1"/>
  <c r="N85" i="1"/>
  <c r="N86" i="1"/>
  <c r="N87" i="1"/>
  <c r="N88" i="1"/>
  <c r="N90" i="1"/>
  <c r="J85" i="1"/>
  <c r="J90" i="1"/>
  <c r="J87" i="1"/>
  <c r="J86" i="1"/>
  <c r="J89" i="1"/>
  <c r="J88" i="1"/>
  <c r="R86" i="1"/>
  <c r="R85" i="1"/>
  <c r="R87" i="1"/>
  <c r="R88" i="1"/>
  <c r="R90" i="1"/>
  <c r="R89" i="1"/>
  <c r="F90" i="1"/>
  <c r="F106" i="1" s="1"/>
  <c r="F86" i="1"/>
  <c r="F102" i="1" s="1"/>
  <c r="F85" i="1"/>
  <c r="F101" i="1" s="1"/>
  <c r="F87" i="1"/>
  <c r="F103" i="1" s="1"/>
  <c r="F89" i="1"/>
  <c r="F105" i="1" s="1"/>
  <c r="F88" i="1"/>
  <c r="F104" i="1" s="1"/>
  <c r="L88" i="1"/>
  <c r="L86" i="1"/>
  <c r="L87" i="1"/>
  <c r="L90" i="1"/>
  <c r="L85" i="1"/>
  <c r="L89" i="1"/>
  <c r="X89" i="1"/>
  <c r="X90" i="1"/>
  <c r="X87" i="1"/>
  <c r="X88" i="1"/>
  <c r="X85" i="1"/>
  <c r="X86" i="1"/>
  <c r="S87" i="1"/>
  <c r="S88" i="1"/>
  <c r="S86" i="1"/>
  <c r="S90" i="1"/>
  <c r="S89" i="1"/>
  <c r="S85" i="1"/>
  <c r="M88" i="1"/>
  <c r="M87" i="1"/>
  <c r="M89" i="1"/>
  <c r="M86" i="1"/>
  <c r="M85" i="1"/>
  <c r="M90" i="1"/>
  <c r="P85" i="1"/>
  <c r="P88" i="1"/>
  <c r="P86" i="1"/>
  <c r="P89" i="1"/>
  <c r="P90" i="1"/>
  <c r="P87" i="1"/>
  <c r="K85" i="1"/>
  <c r="K88" i="1"/>
  <c r="K86" i="1"/>
  <c r="K90" i="1"/>
  <c r="K87" i="1"/>
  <c r="K89" i="1"/>
  <c r="T87" i="1"/>
  <c r="T86" i="1"/>
  <c r="T85" i="1"/>
  <c r="T88" i="1"/>
  <c r="T90" i="1"/>
  <c r="T89" i="1"/>
  <c r="H89" i="1"/>
  <c r="H85" i="1"/>
  <c r="H90" i="1"/>
  <c r="H87" i="1"/>
  <c r="H88" i="1"/>
  <c r="H86" i="1"/>
  <c r="V88" i="1"/>
  <c r="V90" i="1"/>
  <c r="V89" i="1"/>
  <c r="V87" i="1"/>
  <c r="V86" i="1"/>
  <c r="V85" i="1"/>
  <c r="Q87" i="1"/>
  <c r="Q88" i="1"/>
  <c r="Q85" i="1"/>
  <c r="Q89" i="1"/>
  <c r="Q86" i="1"/>
  <c r="Q90" i="1"/>
  <c r="W88" i="1"/>
  <c r="W87" i="1"/>
  <c r="W89" i="1"/>
  <c r="W86" i="1"/>
  <c r="W90" i="1"/>
  <c r="W85" i="1"/>
  <c r="U90" i="1"/>
  <c r="U86" i="1"/>
  <c r="U89" i="1"/>
  <c r="U87" i="1"/>
  <c r="U85" i="1"/>
  <c r="U88" i="1"/>
  <c r="I87" i="1"/>
  <c r="I89" i="1"/>
  <c r="I85" i="1"/>
  <c r="I88" i="1"/>
  <c r="I90" i="1"/>
  <c r="I86" i="1"/>
  <c r="O89" i="1"/>
  <c r="O88" i="1"/>
  <c r="O87" i="1"/>
  <c r="O90" i="1"/>
  <c r="O86" i="1"/>
  <c r="O85" i="1"/>
  <c r="E86" i="1"/>
  <c r="E90" i="1"/>
  <c r="E88" i="1"/>
  <c r="E104" i="1" s="1"/>
  <c r="E109" i="1"/>
  <c r="E89" i="1"/>
  <c r="E87" i="1"/>
  <c r="Z146" i="1"/>
  <c r="K44" i="1"/>
  <c r="L44" i="1"/>
  <c r="J44" i="1"/>
  <c r="M44" i="1"/>
  <c r="Z154" i="1" l="1"/>
  <c r="Z44" i="1"/>
  <c r="Z155" i="1"/>
  <c r="K164" i="1"/>
  <c r="N164" i="1" s="1"/>
  <c r="F31" i="3" s="1"/>
  <c r="K163" i="1"/>
  <c r="N163" i="1" s="1"/>
  <c r="F30" i="3" s="1"/>
  <c r="K165" i="1"/>
  <c r="N165" i="1" s="1"/>
  <c r="F32" i="3" s="1"/>
  <c r="K161" i="1"/>
  <c r="N161" i="1" s="1"/>
  <c r="F28" i="3" s="1"/>
  <c r="K168" i="1"/>
  <c r="N168" i="1" s="1"/>
  <c r="F35" i="3" s="1"/>
  <c r="F107" i="1"/>
  <c r="H112" i="1"/>
  <c r="W111" i="1"/>
  <c r="T110" i="1"/>
  <c r="I114" i="1"/>
  <c r="V110" i="1"/>
  <c r="P114" i="1"/>
  <c r="W113" i="1"/>
  <c r="U110" i="1"/>
  <c r="Q114" i="1"/>
  <c r="V111" i="1"/>
  <c r="H109" i="1"/>
  <c r="K113" i="1"/>
  <c r="P113" i="1"/>
  <c r="N111" i="1"/>
  <c r="Q111" i="1"/>
  <c r="K109" i="1"/>
  <c r="X113" i="1"/>
  <c r="G112" i="1"/>
  <c r="H111" i="1"/>
  <c r="F111" i="1"/>
  <c r="N114" i="1"/>
  <c r="O109" i="1"/>
  <c r="I109" i="1"/>
  <c r="V113" i="1"/>
  <c r="M112" i="1"/>
  <c r="L111" i="1"/>
  <c r="T109" i="1"/>
  <c r="S110" i="1"/>
  <c r="F113" i="1"/>
  <c r="J109" i="1"/>
  <c r="I113" i="1"/>
  <c r="W109" i="1"/>
  <c r="Q113" i="1"/>
  <c r="S109" i="1"/>
  <c r="X112" i="1"/>
  <c r="L110" i="1"/>
  <c r="J110" i="1"/>
  <c r="N109" i="1"/>
  <c r="V109" i="1"/>
  <c r="L113" i="1"/>
  <c r="R109" i="1"/>
  <c r="O111" i="1"/>
  <c r="V112" i="1"/>
  <c r="K110" i="1"/>
  <c r="L112" i="1"/>
  <c r="J111" i="1"/>
  <c r="N113" i="1"/>
  <c r="U112" i="1"/>
  <c r="W110" i="1"/>
  <c r="H110" i="1"/>
  <c r="T112" i="1"/>
  <c r="M114" i="1"/>
  <c r="S114" i="1"/>
  <c r="F112" i="1"/>
  <c r="G111" i="1"/>
  <c r="E103" i="1"/>
  <c r="E111" i="1"/>
  <c r="E114" i="1"/>
  <c r="E106" i="1"/>
  <c r="E110" i="1"/>
  <c r="E102" i="1"/>
  <c r="E113" i="1"/>
  <c r="E105" i="1"/>
  <c r="E101" i="1"/>
  <c r="P95" i="1"/>
  <c r="P111" i="1"/>
  <c r="M94" i="1"/>
  <c r="M110" i="1"/>
  <c r="S96" i="1"/>
  <c r="S112" i="1"/>
  <c r="G98" i="1"/>
  <c r="G114" i="1"/>
  <c r="U97" i="1"/>
  <c r="U113" i="1"/>
  <c r="W96" i="1"/>
  <c r="W112" i="1"/>
  <c r="H98" i="1"/>
  <c r="H114" i="1"/>
  <c r="T95" i="1"/>
  <c r="T111" i="1"/>
  <c r="M97" i="1"/>
  <c r="M113" i="1"/>
  <c r="S95" i="1"/>
  <c r="S111" i="1"/>
  <c r="L93" i="1"/>
  <c r="L109" i="1"/>
  <c r="F93" i="1"/>
  <c r="F109" i="1"/>
  <c r="R94" i="1"/>
  <c r="R110" i="1"/>
  <c r="N96" i="1"/>
  <c r="N112" i="1"/>
  <c r="G94" i="1"/>
  <c r="G110" i="1"/>
  <c r="I94" i="1"/>
  <c r="I110" i="1"/>
  <c r="U95" i="1"/>
  <c r="U111" i="1"/>
  <c r="M95" i="1"/>
  <c r="M111" i="1"/>
  <c r="X94" i="1"/>
  <c r="X110" i="1"/>
  <c r="L98" i="1"/>
  <c r="L114" i="1"/>
  <c r="J96" i="1"/>
  <c r="J112" i="1"/>
  <c r="G97" i="1"/>
  <c r="G113" i="1"/>
  <c r="O94" i="1"/>
  <c r="O110" i="1"/>
  <c r="U98" i="1"/>
  <c r="U114" i="1"/>
  <c r="Q94" i="1"/>
  <c r="Q110" i="1"/>
  <c r="H97" i="1"/>
  <c r="H113" i="1"/>
  <c r="K95" i="1"/>
  <c r="K111" i="1"/>
  <c r="P94" i="1"/>
  <c r="P110" i="1"/>
  <c r="X93" i="1"/>
  <c r="X109" i="1"/>
  <c r="F98" i="1"/>
  <c r="F114" i="1"/>
  <c r="J97" i="1"/>
  <c r="J113" i="1"/>
  <c r="N94" i="1"/>
  <c r="N110" i="1"/>
  <c r="G93" i="1"/>
  <c r="G109" i="1"/>
  <c r="E95" i="1"/>
  <c r="O98" i="1"/>
  <c r="O114" i="1"/>
  <c r="V98" i="1"/>
  <c r="V114" i="1"/>
  <c r="T97" i="1"/>
  <c r="T113" i="1"/>
  <c r="K98" i="1"/>
  <c r="K114" i="1"/>
  <c r="P96" i="1"/>
  <c r="P112" i="1"/>
  <c r="R97" i="1"/>
  <c r="R113" i="1"/>
  <c r="I96" i="1"/>
  <c r="I112" i="1"/>
  <c r="F94" i="1"/>
  <c r="F110" i="1"/>
  <c r="I95" i="1"/>
  <c r="I111" i="1"/>
  <c r="W98" i="1"/>
  <c r="W114" i="1"/>
  <c r="Q93" i="1"/>
  <c r="Q109" i="1"/>
  <c r="T98" i="1"/>
  <c r="T114" i="1"/>
  <c r="P93" i="1"/>
  <c r="P109" i="1"/>
  <c r="S97" i="1"/>
  <c r="S113" i="1"/>
  <c r="X95" i="1"/>
  <c r="X111" i="1"/>
  <c r="R98" i="1"/>
  <c r="R114" i="1"/>
  <c r="O96" i="1"/>
  <c r="O112" i="1"/>
  <c r="Q96" i="1"/>
  <c r="Q112" i="1"/>
  <c r="K96" i="1"/>
  <c r="K112" i="1"/>
  <c r="X98" i="1"/>
  <c r="X114" i="1"/>
  <c r="R96" i="1"/>
  <c r="R112" i="1"/>
  <c r="J98" i="1"/>
  <c r="J114" i="1"/>
  <c r="E96" i="1"/>
  <c r="E112" i="1"/>
  <c r="O97" i="1"/>
  <c r="O113" i="1"/>
  <c r="U93" i="1"/>
  <c r="U109" i="1"/>
  <c r="M93" i="1"/>
  <c r="M109" i="1"/>
  <c r="R95" i="1"/>
  <c r="R111" i="1"/>
  <c r="Q98" i="1"/>
  <c r="V97" i="1"/>
  <c r="N95" i="1"/>
  <c r="V95" i="1"/>
  <c r="K97" i="1"/>
  <c r="L95" i="1"/>
  <c r="F95" i="1"/>
  <c r="U94" i="1"/>
  <c r="I93" i="1"/>
  <c r="H93" i="1"/>
  <c r="O93" i="1"/>
  <c r="P97" i="1"/>
  <c r="M96" i="1"/>
  <c r="V94" i="1"/>
  <c r="J93" i="1"/>
  <c r="H95" i="1"/>
  <c r="E98" i="1"/>
  <c r="E94" i="1"/>
  <c r="T94" i="1"/>
  <c r="T93" i="1"/>
  <c r="S94" i="1"/>
  <c r="N98" i="1"/>
  <c r="S98" i="1"/>
  <c r="L97" i="1"/>
  <c r="K93" i="1"/>
  <c r="R93" i="1"/>
  <c r="P98" i="1"/>
  <c r="V93" i="1"/>
  <c r="G96" i="1"/>
  <c r="W95" i="1"/>
  <c r="W97" i="1"/>
  <c r="U91" i="1"/>
  <c r="U147" i="1" s="1"/>
  <c r="F91" i="1"/>
  <c r="F147" i="1" s="1"/>
  <c r="G91" i="1"/>
  <c r="G147" i="1" s="1"/>
  <c r="Q95" i="1"/>
  <c r="I98" i="1"/>
  <c r="X97" i="1"/>
  <c r="U96" i="1"/>
  <c r="L96" i="1"/>
  <c r="H96" i="1"/>
  <c r="E93" i="1"/>
  <c r="F96" i="1"/>
  <c r="F97" i="1"/>
  <c r="H94" i="1"/>
  <c r="M91" i="1"/>
  <c r="M147" i="1" s="1"/>
  <c r="T96" i="1"/>
  <c r="W94" i="1"/>
  <c r="G95" i="1"/>
  <c r="M98" i="1"/>
  <c r="H91" i="1"/>
  <c r="H147" i="1" s="1"/>
  <c r="W91" i="1"/>
  <c r="W147" i="1" s="1"/>
  <c r="X91" i="1"/>
  <c r="X147" i="1" s="1"/>
  <c r="L91" i="1"/>
  <c r="L147" i="1" s="1"/>
  <c r="Q97" i="1"/>
  <c r="V96" i="1"/>
  <c r="E97" i="1"/>
  <c r="J95" i="1"/>
  <c r="O91" i="1"/>
  <c r="O147" i="1" s="1"/>
  <c r="K91" i="1"/>
  <c r="K147" i="1" s="1"/>
  <c r="E91" i="1"/>
  <c r="K94" i="1"/>
  <c r="I91" i="1"/>
  <c r="I147" i="1" s="1"/>
  <c r="N91" i="1"/>
  <c r="N147" i="1" s="1"/>
  <c r="P91" i="1"/>
  <c r="P147" i="1" s="1"/>
  <c r="W93" i="1"/>
  <c r="X96" i="1"/>
  <c r="N93" i="1"/>
  <c r="I97" i="1"/>
  <c r="V91" i="1"/>
  <c r="V147" i="1" s="1"/>
  <c r="J91" i="1"/>
  <c r="J147" i="1" s="1"/>
  <c r="T91" i="1"/>
  <c r="T147" i="1" s="1"/>
  <c r="O95" i="1"/>
  <c r="S91" i="1"/>
  <c r="S147" i="1" s="1"/>
  <c r="L94" i="1"/>
  <c r="J94" i="1"/>
  <c r="N97" i="1"/>
  <c r="Q91" i="1"/>
  <c r="Q147" i="1" s="1"/>
  <c r="R91" i="1"/>
  <c r="R147" i="1" s="1"/>
  <c r="S93" i="1"/>
  <c r="Z64" i="1"/>
  <c r="Z63" i="1"/>
  <c r="E117" i="1" l="1"/>
  <c r="E125" i="1"/>
  <c r="E16" i="3"/>
  <c r="G16" i="3" s="1"/>
  <c r="F14" i="3"/>
  <c r="G14" i="3" s="1"/>
  <c r="E147" i="1"/>
  <c r="Z147" i="1" s="1"/>
  <c r="Z66" i="1" s="1"/>
  <c r="N172" i="1"/>
  <c r="F39" i="3" s="1"/>
  <c r="G12" i="3"/>
  <c r="M127" i="1"/>
  <c r="M130" i="1"/>
  <c r="M125" i="1"/>
  <c r="M128" i="1"/>
  <c r="M126" i="1"/>
  <c r="M129" i="1"/>
  <c r="M53" i="1"/>
  <c r="X130" i="1"/>
  <c r="X126" i="1"/>
  <c r="X129" i="1"/>
  <c r="X127" i="1"/>
  <c r="X125" i="1"/>
  <c r="X128" i="1"/>
  <c r="X53" i="1"/>
  <c r="T127" i="1"/>
  <c r="T130" i="1"/>
  <c r="T125" i="1"/>
  <c r="T128" i="1"/>
  <c r="T126" i="1"/>
  <c r="T129" i="1"/>
  <c r="T53" i="1"/>
  <c r="L127" i="1"/>
  <c r="L130" i="1"/>
  <c r="L125" i="1"/>
  <c r="L128" i="1"/>
  <c r="L126" i="1"/>
  <c r="L129" i="1"/>
  <c r="L53" i="1"/>
  <c r="K126" i="1"/>
  <c r="K125" i="1"/>
  <c r="K128" i="1"/>
  <c r="K129" i="1"/>
  <c r="K127" i="1"/>
  <c r="K130" i="1"/>
  <c r="K53" i="1"/>
  <c r="W126" i="1"/>
  <c r="W129" i="1"/>
  <c r="W127" i="1"/>
  <c r="W130" i="1"/>
  <c r="W125" i="1"/>
  <c r="W128" i="1"/>
  <c r="W53" i="1"/>
  <c r="J125" i="1"/>
  <c r="J128" i="1"/>
  <c r="J126" i="1"/>
  <c r="J129" i="1"/>
  <c r="J127" i="1"/>
  <c r="J130" i="1"/>
  <c r="J53" i="1"/>
  <c r="Q126" i="1"/>
  <c r="Q129" i="1"/>
  <c r="Q127" i="1"/>
  <c r="Q130" i="1"/>
  <c r="Q125" i="1"/>
  <c r="Q128" i="1"/>
  <c r="Q53" i="1"/>
  <c r="O126" i="1"/>
  <c r="O129" i="1"/>
  <c r="O130" i="1"/>
  <c r="O127" i="1"/>
  <c r="O125" i="1"/>
  <c r="O128" i="1"/>
  <c r="O53" i="1"/>
  <c r="H126" i="1"/>
  <c r="H129" i="1"/>
  <c r="H127" i="1"/>
  <c r="H130" i="1"/>
  <c r="H125" i="1"/>
  <c r="H128" i="1"/>
  <c r="H53" i="1"/>
  <c r="G126" i="1"/>
  <c r="G129" i="1"/>
  <c r="G128" i="1"/>
  <c r="G127" i="1"/>
  <c r="G125" i="1"/>
  <c r="G130" i="1"/>
  <c r="G53" i="1"/>
  <c r="R125" i="1"/>
  <c r="R128" i="1"/>
  <c r="R126" i="1"/>
  <c r="R129" i="1"/>
  <c r="R127" i="1"/>
  <c r="R130" i="1"/>
  <c r="R53" i="1"/>
  <c r="S129" i="1"/>
  <c r="S125" i="1"/>
  <c r="S128" i="1"/>
  <c r="S127" i="1"/>
  <c r="S130" i="1"/>
  <c r="S126" i="1"/>
  <c r="S53" i="1"/>
  <c r="F125" i="1"/>
  <c r="F127" i="1"/>
  <c r="F130" i="1"/>
  <c r="F128" i="1"/>
  <c r="F126" i="1"/>
  <c r="F129" i="1"/>
  <c r="N127" i="1"/>
  <c r="N130" i="1"/>
  <c r="N128" i="1"/>
  <c r="N126" i="1"/>
  <c r="N129" i="1"/>
  <c r="N125" i="1"/>
  <c r="N53" i="1"/>
  <c r="I126" i="1"/>
  <c r="I129" i="1"/>
  <c r="I127" i="1"/>
  <c r="I130" i="1"/>
  <c r="I125" i="1"/>
  <c r="I128" i="1"/>
  <c r="I53" i="1"/>
  <c r="V125" i="1"/>
  <c r="V127" i="1"/>
  <c r="V130" i="1"/>
  <c r="V126" i="1"/>
  <c r="V129" i="1"/>
  <c r="V128" i="1"/>
  <c r="V53" i="1"/>
  <c r="P127" i="1"/>
  <c r="P126" i="1"/>
  <c r="P129" i="1"/>
  <c r="P125" i="1"/>
  <c r="P128" i="1"/>
  <c r="P130" i="1"/>
  <c r="P53" i="1"/>
  <c r="U128" i="1"/>
  <c r="U127" i="1"/>
  <c r="U130" i="1"/>
  <c r="U125" i="1"/>
  <c r="U126" i="1"/>
  <c r="U129" i="1"/>
  <c r="U53" i="1"/>
  <c r="V115" i="1"/>
  <c r="E126" i="1"/>
  <c r="R99" i="1"/>
  <c r="O99" i="1"/>
  <c r="E107" i="1"/>
  <c r="Z107" i="1" s="1"/>
  <c r="E120" i="1"/>
  <c r="E121" i="1"/>
  <c r="E122" i="1"/>
  <c r="E119" i="1"/>
  <c r="E118" i="1"/>
  <c r="L119" i="1"/>
  <c r="L121" i="1"/>
  <c r="L118" i="1"/>
  <c r="L120" i="1"/>
  <c r="L117" i="1"/>
  <c r="L122" i="1"/>
  <c r="M119" i="1"/>
  <c r="M121" i="1"/>
  <c r="M118" i="1"/>
  <c r="M120" i="1"/>
  <c r="M117" i="1"/>
  <c r="M122" i="1"/>
  <c r="K122" i="1"/>
  <c r="K119" i="1"/>
  <c r="K121" i="1"/>
  <c r="K118" i="1"/>
  <c r="K117" i="1"/>
  <c r="K120" i="1"/>
  <c r="O118" i="1"/>
  <c r="O120" i="1"/>
  <c r="O117" i="1"/>
  <c r="O122" i="1"/>
  <c r="O119" i="1"/>
  <c r="O121" i="1"/>
  <c r="W118" i="1"/>
  <c r="W120" i="1"/>
  <c r="W117" i="1"/>
  <c r="W122" i="1"/>
  <c r="W119" i="1"/>
  <c r="W121" i="1"/>
  <c r="S122" i="1"/>
  <c r="S119" i="1"/>
  <c r="S121" i="1"/>
  <c r="S118" i="1"/>
  <c r="S120" i="1"/>
  <c r="S117" i="1"/>
  <c r="H120" i="1"/>
  <c r="H117" i="1"/>
  <c r="H122" i="1"/>
  <c r="H119" i="1"/>
  <c r="H118" i="1"/>
  <c r="H121" i="1"/>
  <c r="V121" i="1"/>
  <c r="V118" i="1"/>
  <c r="V120" i="1"/>
  <c r="V117" i="1"/>
  <c r="V122" i="1"/>
  <c r="V119" i="1"/>
  <c r="X120" i="1"/>
  <c r="X117" i="1"/>
  <c r="X122" i="1"/>
  <c r="X119" i="1"/>
  <c r="X121" i="1"/>
  <c r="X118" i="1"/>
  <c r="G118" i="1"/>
  <c r="G120" i="1"/>
  <c r="G117" i="1"/>
  <c r="G122" i="1"/>
  <c r="G119" i="1"/>
  <c r="G121" i="1"/>
  <c r="P120" i="1"/>
  <c r="P117" i="1"/>
  <c r="P122" i="1"/>
  <c r="P119" i="1"/>
  <c r="P118" i="1"/>
  <c r="P121" i="1"/>
  <c r="F117" i="1"/>
  <c r="F121" i="1"/>
  <c r="F118" i="1"/>
  <c r="F120" i="1"/>
  <c r="F122" i="1"/>
  <c r="F119" i="1"/>
  <c r="T119" i="1"/>
  <c r="T121" i="1"/>
  <c r="T118" i="1"/>
  <c r="T122" i="1"/>
  <c r="T120" i="1"/>
  <c r="T117" i="1"/>
  <c r="U121" i="1"/>
  <c r="U118" i="1"/>
  <c r="U120" i="1"/>
  <c r="U117" i="1"/>
  <c r="U119" i="1"/>
  <c r="U122" i="1"/>
  <c r="Q120" i="1"/>
  <c r="Q117" i="1"/>
  <c r="Q122" i="1"/>
  <c r="Q119" i="1"/>
  <c r="Q121" i="1"/>
  <c r="Q118" i="1"/>
  <c r="N121" i="1"/>
  <c r="N118" i="1"/>
  <c r="N120" i="1"/>
  <c r="N117" i="1"/>
  <c r="N122" i="1"/>
  <c r="N119" i="1"/>
  <c r="R117" i="1"/>
  <c r="R122" i="1"/>
  <c r="R119" i="1"/>
  <c r="R121" i="1"/>
  <c r="R120" i="1"/>
  <c r="R118" i="1"/>
  <c r="J117" i="1"/>
  <c r="J122" i="1"/>
  <c r="J119" i="1"/>
  <c r="J120" i="1"/>
  <c r="J121" i="1"/>
  <c r="J118" i="1"/>
  <c r="I120" i="1"/>
  <c r="I117" i="1"/>
  <c r="I122" i="1"/>
  <c r="I119" i="1"/>
  <c r="I121" i="1"/>
  <c r="I118" i="1"/>
  <c r="U99" i="1"/>
  <c r="N115" i="1"/>
  <c r="H115" i="1"/>
  <c r="I99" i="1"/>
  <c r="M99" i="1"/>
  <c r="K99" i="1"/>
  <c r="U115" i="1"/>
  <c r="Q99" i="1"/>
  <c r="J115" i="1"/>
  <c r="P99" i="1"/>
  <c r="T99" i="1"/>
  <c r="M115" i="1"/>
  <c r="L115" i="1"/>
  <c r="H99" i="1"/>
  <c r="E115" i="1"/>
  <c r="S115" i="1"/>
  <c r="S99" i="1"/>
  <c r="F99" i="1"/>
  <c r="W99" i="1"/>
  <c r="X115" i="1"/>
  <c r="F115" i="1"/>
  <c r="V99" i="1"/>
  <c r="E99" i="1"/>
  <c r="X99" i="1"/>
  <c r="G115" i="1"/>
  <c r="G99" i="1"/>
  <c r="L99" i="1"/>
  <c r="I115" i="1"/>
  <c r="K115" i="1"/>
  <c r="J99" i="1"/>
  <c r="W115" i="1"/>
  <c r="Q115" i="1"/>
  <c r="Z91" i="1"/>
  <c r="H18" i="3" s="1"/>
  <c r="O115" i="1"/>
  <c r="T115" i="1"/>
  <c r="N99" i="1"/>
  <c r="P115" i="1"/>
  <c r="R115" i="1"/>
  <c r="F22" i="3"/>
  <c r="E138" i="1" l="1"/>
  <c r="F8" i="3"/>
  <c r="G8" i="3" s="1"/>
  <c r="F7" i="3"/>
  <c r="G7" i="3" s="1"/>
  <c r="E123" i="1"/>
  <c r="Z65" i="1"/>
  <c r="G11" i="3" s="1"/>
  <c r="R141" i="1"/>
  <c r="E128" i="1"/>
  <c r="E141" i="1" s="1"/>
  <c r="E127" i="1"/>
  <c r="E140" i="1" s="1"/>
  <c r="E129" i="1"/>
  <c r="E142" i="1" s="1"/>
  <c r="E130" i="1"/>
  <c r="E143" i="1" s="1"/>
  <c r="F23" i="3"/>
  <c r="F24" i="3"/>
  <c r="N143" i="1"/>
  <c r="S143" i="1"/>
  <c r="G140" i="1"/>
  <c r="Q141" i="1"/>
  <c r="F138" i="1"/>
  <c r="P143" i="1"/>
  <c r="O140" i="1"/>
  <c r="I140" i="1"/>
  <c r="U139" i="1"/>
  <c r="K142" i="1"/>
  <c r="V140" i="1"/>
  <c r="F139" i="1"/>
  <c r="O142" i="1"/>
  <c r="W140" i="1"/>
  <c r="X139" i="1"/>
  <c r="V141" i="1"/>
  <c r="L143" i="1"/>
  <c r="I143" i="1"/>
  <c r="J142" i="1"/>
  <c r="T141" i="1"/>
  <c r="U140" i="1"/>
  <c r="N141" i="1"/>
  <c r="W141" i="1"/>
  <c r="L142" i="1"/>
  <c r="V138" i="1"/>
  <c r="Q138" i="1"/>
  <c r="L139" i="1"/>
  <c r="J138" i="1"/>
  <c r="R138" i="1"/>
  <c r="T139" i="1"/>
  <c r="N140" i="1"/>
  <c r="G142" i="1"/>
  <c r="F141" i="1"/>
  <c r="H142" i="1"/>
  <c r="O139" i="1"/>
  <c r="S138" i="1"/>
  <c r="W138" i="1"/>
  <c r="M140" i="1"/>
  <c r="X141" i="1"/>
  <c r="R142" i="1"/>
  <c r="G143" i="1"/>
  <c r="Q142" i="1"/>
  <c r="T142" i="1"/>
  <c r="M143" i="1"/>
  <c r="V142" i="1"/>
  <c r="Q143" i="1"/>
  <c r="I139" i="1"/>
  <c r="J139" i="1"/>
  <c r="R143" i="1"/>
  <c r="U143" i="1"/>
  <c r="N142" i="1"/>
  <c r="G141" i="1"/>
  <c r="P142" i="1"/>
  <c r="H139" i="1"/>
  <c r="O143" i="1"/>
  <c r="S140" i="1"/>
  <c r="K141" i="1"/>
  <c r="M142" i="1"/>
  <c r="X138" i="1"/>
  <c r="T143" i="1"/>
  <c r="S139" i="1"/>
  <c r="V139" i="1"/>
  <c r="Q140" i="1"/>
  <c r="I141" i="1"/>
  <c r="J143" i="1"/>
  <c r="R140" i="1"/>
  <c r="U138" i="1"/>
  <c r="N139" i="1"/>
  <c r="G138" i="1"/>
  <c r="P139" i="1"/>
  <c r="H140" i="1"/>
  <c r="O141" i="1"/>
  <c r="S142" i="1"/>
  <c r="K138" i="1"/>
  <c r="M141" i="1"/>
  <c r="X143" i="1"/>
  <c r="L141" i="1"/>
  <c r="X140" i="1"/>
  <c r="J141" i="1"/>
  <c r="V143" i="1"/>
  <c r="L138" i="1"/>
  <c r="I138" i="1"/>
  <c r="J140" i="1"/>
  <c r="T138" i="1"/>
  <c r="U141" i="1"/>
  <c r="N138" i="1"/>
  <c r="F140" i="1"/>
  <c r="P141" i="1"/>
  <c r="H141" i="1"/>
  <c r="O138" i="1"/>
  <c r="W143" i="1"/>
  <c r="K143" i="1"/>
  <c r="M139" i="1"/>
  <c r="F143" i="1"/>
  <c r="P131" i="1"/>
  <c r="P138" i="1"/>
  <c r="H138" i="1"/>
  <c r="W139" i="1"/>
  <c r="K140" i="1"/>
  <c r="M138" i="1"/>
  <c r="Q139" i="1"/>
  <c r="L140" i="1"/>
  <c r="I142" i="1"/>
  <c r="R139" i="1"/>
  <c r="T140" i="1"/>
  <c r="U142" i="1"/>
  <c r="G139" i="1"/>
  <c r="F142" i="1"/>
  <c r="P140" i="1"/>
  <c r="H143" i="1"/>
  <c r="S141" i="1"/>
  <c r="W142" i="1"/>
  <c r="K139" i="1"/>
  <c r="X142" i="1"/>
  <c r="Z54" i="1"/>
  <c r="F18" i="3" s="1"/>
  <c r="V131" i="1"/>
  <c r="I131" i="1"/>
  <c r="K131" i="1"/>
  <c r="J131" i="1"/>
  <c r="L131" i="1"/>
  <c r="G131" i="1"/>
  <c r="F131" i="1"/>
  <c r="X131" i="1"/>
  <c r="E139" i="1"/>
  <c r="U123" i="1"/>
  <c r="S131" i="1"/>
  <c r="W131" i="1"/>
  <c r="Q131" i="1"/>
  <c r="N131" i="1"/>
  <c r="H131" i="1"/>
  <c r="U131" i="1"/>
  <c r="M131" i="1"/>
  <c r="R131" i="1"/>
  <c r="T131" i="1"/>
  <c r="O131" i="1"/>
  <c r="R123" i="1"/>
  <c r="G123" i="1"/>
  <c r="X123" i="1"/>
  <c r="K123" i="1"/>
  <c r="J123" i="1"/>
  <c r="I123" i="1"/>
  <c r="N123" i="1"/>
  <c r="Q123" i="1"/>
  <c r="T123" i="1"/>
  <c r="V123" i="1"/>
  <c r="P123" i="1"/>
  <c r="H123" i="1"/>
  <c r="L123" i="1"/>
  <c r="S123" i="1"/>
  <c r="F123" i="1"/>
  <c r="W123" i="1"/>
  <c r="O123" i="1"/>
  <c r="M123" i="1"/>
  <c r="Z99" i="1"/>
  <c r="E53" i="1" l="1"/>
  <c r="E131" i="1"/>
  <c r="F53"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2"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22" authorId="0" shapeId="0" xr:uid="{8E513450-B2CC-4046-8173-1D8874BA1C5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<sst xmlns="http://schemas.openxmlformats.org/spreadsheetml/2006/main" count="720" uniqueCount="576">
  <si>
    <t>Minergie-Areal</t>
  </si>
  <si>
    <t>Kennzahlen</t>
  </si>
  <si>
    <t>Gebäudebezeichnung</t>
  </si>
  <si>
    <t>Wohnen MFH</t>
  </si>
  <si>
    <r>
      <t>m</t>
    </r>
    <r>
      <rPr>
        <vertAlign val="superscript"/>
        <sz val="9"/>
        <color theme="1"/>
        <rFont val="Arial"/>
        <family val="2"/>
      </rPr>
      <t>2</t>
    </r>
  </si>
  <si>
    <t>Summe</t>
  </si>
  <si>
    <t>Art des Bauvorhabens</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</si>
  <si>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</si>
  <si>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</si>
  <si>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</si>
  <si>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</si>
  <si>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</si>
  <si>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</si>
  <si>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</si>
  <si>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</si>
  <si>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</si>
  <si>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</si>
  <si>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</si>
  <si>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</si>
  <si>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</si>
  <si>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</si>
  <si>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</si>
  <si>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</si>
  <si>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</si>
  <si>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</si>
  <si>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</si>
  <si>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</si>
  <si>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</si>
  <si>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</si>
  <si>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</si>
  <si>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</si>
  <si>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</si>
  <si>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Weitere</t>
  </si>
  <si>
    <t>Schutzinventar</t>
  </si>
  <si>
    <t>Noch offen</t>
  </si>
  <si>
    <t>Bestehendes Minergie-Zertifikat</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</si>
  <si>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</si>
  <si>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</si>
  <si>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</si>
  <si>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</si>
  <si>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</si>
  <si>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</si>
  <si>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</si>
  <si>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</si>
  <si>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</si>
  <si>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</si>
  <si>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</si>
  <si>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</si>
  <si>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</si>
  <si>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</si>
  <si>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</si>
  <si>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</si>
  <si>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</si>
  <si>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</si>
  <si>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</si>
  <si>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</si>
  <si>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</si>
  <si>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</si>
  <si>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</si>
  <si>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Begründung für Ausnahmeregelung</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</si>
  <si>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</si>
  <si>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</si>
  <si>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</si>
  <si>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</si>
  <si>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</si>
  <si>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</si>
  <si>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</si>
  <si>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</si>
  <si>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</si>
  <si>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</si>
  <si>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</si>
  <si>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</si>
  <si>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</si>
  <si>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</si>
  <si>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</si>
  <si>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</si>
  <si>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</si>
  <si>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</si>
  <si>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Keiner der genannten Gründe</t>
  </si>
  <si>
    <t>Angaben zu den Gebäuden</t>
  </si>
  <si>
    <t>GEAK A/B/C oder SNBS Zertifikat</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</si>
  <si>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</si>
  <si>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</si>
  <si>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</si>
  <si>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</si>
  <si>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</si>
  <si>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</si>
  <si>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</si>
  <si>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</si>
  <si>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</si>
  <si>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</si>
  <si>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</si>
  <si>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</si>
  <si>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</si>
  <si>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</si>
  <si>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</si>
  <si>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</si>
  <si>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</si>
  <si>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</si>
  <si>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</si>
  <si>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</si>
  <si>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</si>
  <si>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</si>
  <si>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</si>
  <si>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</si>
  <si>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</si>
  <si>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</si>
  <si>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</si>
  <si>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</si>
  <si>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</si>
  <si>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</si>
  <si>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</si>
  <si>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</si>
  <si>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</si>
  <si>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</si>
  <si>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</si>
  <si>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Gebäude-ID gemäss Minergie-Antrag (in prov. Zertifizierung: falls verfügbar)</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</si>
  <si>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</si>
  <si>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</si>
  <si>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</si>
  <si>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</si>
  <si>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</si>
  <si>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</si>
  <si>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</si>
  <si>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</si>
  <si>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</si>
  <si>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</si>
  <si>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</si>
  <si>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</si>
  <si>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</si>
  <si>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</si>
  <si>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</si>
  <si>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</si>
  <si>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</si>
  <si>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</si>
  <si>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</si>
  <si>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</si>
  <si>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</si>
  <si>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</si>
  <si>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Neubau / Erneuerung nach Minergie</t>
  </si>
  <si>
    <t>Ersatzneubau</t>
  </si>
  <si>
    <t>Energiebezugsfläche EBF für Berechnung</t>
  </si>
  <si>
    <t>m2</t>
  </si>
  <si>
    <t>Angaben zu rückgebauten Gebäuden</t>
  </si>
  <si>
    <t>Bestandesbau mit Ausnahmeregelung</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</si>
  <si>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</si>
  <si>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</si>
  <si>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</si>
  <si>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</si>
  <si>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</si>
  <si>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</si>
  <si>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</si>
  <si>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</si>
  <si>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</si>
  <si>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</si>
  <si>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</si>
  <si>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</si>
  <si>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Neubauten / Erneuerungen nach Minergie</t>
  </si>
  <si>
    <t>Angaben bei Bestandesbauten mit Ausnahmeregelung</t>
  </si>
  <si>
    <t>Treibhausgase in der Erstellung</t>
  </si>
  <si>
    <t>Wärmeerzeugung</t>
  </si>
  <si>
    <t>Übertrag aus Gebäude-Minergie-Nachweis</t>
  </si>
  <si>
    <t>Standardwert</t>
  </si>
  <si>
    <t>Standardwert überschreiben</t>
  </si>
  <si>
    <t xml:space="preserve">Dieses Hilfstool wird für den Nachweis folgender Vorgaben benötigt:
- A1.1 Zertifizierung nach Minergie (-P/-A/-ECO)
- C1.1 Betriebsenergie
- C1.4 Nutzung solare Energie
- C2.1 Treibhausgasemissionen in der Erstellung
Der Liste "Zu_erbringende_Nachweise_Minergie_Areal_2023.1.D_F_I.xlsm" ist zu entnehmen, welche ergänzenden Nachweise eingereicht werden müssen.
</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</si>
  <si>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</si>
  <si>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</si>
  <si>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</si>
  <si>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</si>
  <si>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</si>
  <si>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</si>
  <si>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</si>
  <si>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</si>
  <si>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</si>
  <si>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</si>
  <si>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</si>
  <si>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</si>
  <si>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</si>
  <si>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</si>
  <si>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</si>
  <si>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</si>
  <si>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</si>
  <si>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</si>
  <si>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</si>
  <si>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</si>
  <si>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</si>
  <si>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</si>
  <si>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Gebäudekategorie (Hauptnutzung)</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</si>
  <si>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</si>
  <si>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</si>
  <si>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</si>
  <si>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</si>
  <si>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</si>
  <si>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</si>
  <si>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</si>
  <si>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</si>
  <si>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</si>
  <si>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</si>
  <si>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</si>
  <si>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</si>
  <si>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</si>
  <si>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</si>
  <si>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</si>
  <si>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</si>
  <si>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</si>
  <si>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</si>
  <si>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</si>
  <si>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</si>
  <si>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</si>
  <si>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Tipo di edificazione</t>
  </si>
  <si>
    <t>Standard Minergie</t>
  </si>
  <si>
    <t>Giustificazione all'esenzione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</si>
  <si>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</si>
  <si>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</si>
  <si>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</si>
  <si>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</si>
  <si>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</si>
  <si>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</si>
  <si>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</si>
  <si>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</si>
  <si>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</si>
  <si>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</si>
  <si>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</si>
  <si>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</si>
  <si>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</si>
  <si>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</si>
  <si>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</si>
  <si>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</si>
  <si>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</si>
  <si>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</si>
  <si>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</si>
  <si>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</si>
  <si>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</si>
  <si>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</si>
  <si>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</si>
  <si>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</si>
  <si>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</si>
  <si>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</si>
  <si>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</si>
  <si>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</si>
  <si>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</si>
  <si>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</si>
  <si>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</si>
  <si>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</si>
  <si>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</si>
  <si>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</si>
  <si>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</si>
  <si>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Inventario dei beni protetti</t>
  </si>
  <si>
    <t>Certificato Minergie esistente</t>
  </si>
  <si>
    <t>CECE A/B/C o certificato SNBS</t>
  </si>
  <si>
    <t>Altri</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</si>
  <si>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</si>
  <si>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</si>
  <si>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</si>
  <si>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</si>
  <si>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</si>
  <si>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</si>
  <si>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</si>
  <si>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</si>
  <si>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</si>
  <si>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</si>
  <si>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</si>
  <si>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</si>
  <si>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</si>
  <si>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</si>
  <si>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</si>
  <si>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</si>
  <si>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</si>
  <si>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</si>
  <si>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</si>
  <si>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</si>
  <si>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</si>
  <si>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</si>
  <si>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</si>
  <si>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</si>
  <si>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</si>
  <si>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</si>
  <si>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</si>
  <si>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</si>
  <si>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</si>
  <si>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</si>
  <si>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</si>
  <si>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</si>
  <si>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</si>
  <si>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</si>
  <si>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</si>
  <si>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</si>
  <si>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</si>
  <si>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</si>
  <si>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</si>
  <si>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</si>
  <si>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</si>
  <si>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</si>
  <si>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</si>
  <si>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</si>
  <si>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</si>
  <si>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</si>
  <si>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</si>
  <si>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</si>
  <si>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</si>
  <si>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</si>
  <si>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</si>
  <si>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</si>
  <si>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</si>
  <si>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Nessuno dei motivi citati</t>
  </si>
  <si>
    <t>Generatore di calore</t>
  </si>
  <si>
    <t>ID edificio secondo la richiesta Minergie (obbligatorio in caso di certificazione provvisoria)</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</si>
  <si>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</si>
  <si>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</si>
  <si>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</si>
  <si>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</si>
  <si>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</si>
  <si>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</si>
  <si>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</si>
  <si>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</si>
  <si>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</si>
  <si>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</si>
  <si>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</si>
  <si>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</si>
  <si>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</si>
  <si>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</si>
  <si>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</si>
  <si>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</si>
  <si>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</si>
  <si>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</si>
  <si>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</si>
  <si>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</si>
  <si>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</si>
  <si>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</si>
  <si>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</si>
  <si>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</si>
  <si>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</si>
  <si>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</si>
  <si>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</si>
  <si>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</si>
  <si>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</si>
  <si>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</si>
  <si>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</si>
  <si>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</si>
  <si>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</si>
  <si>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</si>
  <si>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</si>
  <si>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</si>
  <si>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</si>
  <si>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</si>
  <si>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</si>
  <si>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</si>
  <si>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</si>
  <si>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Categoria dell'edificio (uso principale)</t>
  </si>
  <si>
    <t>Abitare</t>
  </si>
  <si>
    <t>Attenzione: il totale differisce dal totale dell'AE. Per favore verificare l'inserimento.</t>
  </si>
  <si>
    <t>Questo strumento di verifica è necessario per la verifica dei seguenti requisiti:
- A1.1 Certificazione secondo Minergie (-P/-A/-ECO)
- C1.1 Energia d'esercizio
- C1.4 Utilizzo di energia solare
- C2.1 Emissioni di gas serra nella costruzione
La lista "Zu_erbringende_Nachweise_Minergie_Areal_2023.1.D_F_I.xlsm" mostra quali verifiche supplementari devono essere presentate.</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</si>
  <si>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</si>
  <si>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</si>
  <si>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</si>
  <si>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</si>
  <si>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</si>
  <si>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</si>
  <si>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</si>
  <si>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</si>
  <si>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</si>
  <si>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</si>
  <si>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</si>
  <si>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</si>
  <si>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</si>
  <si>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</si>
  <si>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</si>
  <si>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</si>
  <si>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</si>
  <si>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</si>
  <si>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</si>
  <si>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</si>
  <si>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</si>
  <si>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</si>
  <si>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</si>
  <si>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</si>
  <si>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</si>
  <si>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</si>
  <si>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</si>
  <si>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</si>
  <si>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</si>
  <si>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</si>
  <si>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</si>
  <si>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Type de projet de construction</t>
  </si>
  <si>
    <t>Justification de la dérogation</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</si>
  <si>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</si>
  <si>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</si>
  <si>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</si>
  <si>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</si>
  <si>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</si>
  <si>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</si>
  <si>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</si>
  <si>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</si>
  <si>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</si>
  <si>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</si>
  <si>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</si>
  <si>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</si>
  <si>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</si>
  <si>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</si>
  <si>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</si>
  <si>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</si>
  <si>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</si>
  <si>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</si>
  <si>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</si>
  <si>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</si>
  <si>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</si>
  <si>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</si>
  <si>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</si>
  <si>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</si>
  <si>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</si>
  <si>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</si>
  <si>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</si>
  <si>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</si>
  <si>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</si>
  <si>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</si>
  <si>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</si>
  <si>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</si>
  <si>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Nouvelle construction / rénovation Minergie</t>
  </si>
  <si>
    <t>Construction de remplacement</t>
  </si>
  <si>
    <t>tiennent compte</t>
  </si>
  <si>
    <t>Construction existante avec dérogation</t>
  </si>
  <si>
    <t>Inventaire de protection</t>
  </si>
  <si>
    <t>Certificat Minergie existant</t>
  </si>
  <si>
    <t>Certificat CECB A/B/C ou SNBS</t>
  </si>
  <si>
    <t>Autres</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</si>
  <si>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</si>
  <si>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</si>
  <si>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</si>
  <si>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</si>
  <si>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</si>
  <si>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</si>
  <si>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</si>
  <si>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</si>
  <si>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</si>
  <si>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</si>
  <si>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</si>
  <si>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</si>
  <si>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</si>
  <si>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</si>
  <si>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</si>
  <si>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</si>
  <si>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</si>
  <si>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</si>
  <si>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</si>
  <si>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</si>
  <si>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</si>
  <si>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</si>
  <si>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</si>
  <si>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</si>
  <si>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</si>
  <si>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</si>
  <si>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</si>
  <si>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</si>
  <si>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</si>
  <si>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</si>
  <si>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</si>
  <si>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</si>
  <si>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</si>
  <si>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</si>
  <si>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</si>
  <si>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</si>
  <si>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</si>
  <si>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</si>
  <si>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</si>
  <si>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</si>
  <si>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</si>
  <si>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</si>
  <si>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</si>
  <si>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</si>
  <si>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</si>
  <si>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</si>
  <si>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</si>
  <si>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</si>
  <si>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</si>
  <si>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Aucune des raisons mentionnées</t>
  </si>
  <si>
    <t>ID du bâtiment selon la demande Minergie (dans la certification prov. : si disponible)</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</si>
  <si>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</si>
  <si>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</si>
  <si>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</si>
  <si>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</si>
  <si>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</si>
  <si>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</si>
  <si>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</si>
  <si>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</si>
  <si>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</si>
  <si>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</si>
  <si>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</si>
  <si>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</si>
  <si>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</si>
  <si>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</si>
  <si>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</si>
  <si>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</si>
  <si>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</si>
  <si>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</si>
  <si>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</si>
  <si>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</si>
  <si>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</si>
  <si>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</si>
  <si>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</si>
  <si>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Données pour les nouvelles constructions / rénovations Minergie</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</si>
  <si>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</si>
  <si>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</si>
  <si>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</si>
  <si>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</si>
  <si>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</si>
  <si>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</si>
  <si>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</si>
  <si>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</si>
  <si>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</si>
  <si>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</si>
  <si>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</si>
  <si>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</si>
  <si>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</si>
  <si>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</si>
  <si>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</si>
  <si>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</si>
  <si>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</si>
  <si>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</si>
  <si>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Catégorie de bâtiment (affectation principale)</t>
  </si>
  <si>
    <t>Attention : la somme diffère du total de la SRE. Veuillez vérifier votre saisie.</t>
  </si>
  <si>
    <t>Alle Eingaben erfolgen auf dem Tabellenblatt "Eingabe". Die Eingabefelder sind abhängig von der Art der Eingabe farbig markiert (siehe rechts).
Angaben zur Kompensation von Kennzahlen (Zeile 62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</si>
  <si>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62 et suivantes) ne peuvent être remplies qu'une fois les justificatifs des bâtiments individuels disponibles et ne sont pas obligatoires dans la certification provisoire.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</si>
  <si>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</si>
  <si>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</si>
  <si>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</si>
  <si>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</si>
  <si>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</si>
  <si>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</si>
  <si>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</si>
  <si>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</si>
  <si>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</si>
  <si>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</si>
  <si>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</si>
  <si>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</si>
  <si>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</si>
  <si>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</si>
  <si>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</si>
  <si>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</si>
  <si>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</si>
  <si>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</si>
  <si>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</si>
  <si>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</si>
  <si>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Nuova costruzione / risanamento secondo Minergie</t>
  </si>
  <si>
    <t>Tutti gli edifici hanno una produzione del calore da fonte rinnovabile (esclusi picchi di carico)?</t>
  </si>
  <si>
    <t>Efficienza solare termico / PV</t>
  </si>
  <si>
    <t>Il totale dell'AE deve corrispondere al 100%!</t>
  </si>
  <si>
    <t>Risanamento secondo Minergie (incl. ammodernamento di sistema)</t>
  </si>
  <si>
    <t>Caratteristiche per le nuove costruzioni / risanamenti secondo Minergie</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</si>
  <si>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</si>
  <si>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</si>
  <si>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</si>
  <si>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</si>
  <si>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</si>
  <si>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</si>
  <si>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</si>
  <si>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</si>
  <si>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</si>
  <si>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</si>
  <si>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</si>
  <si>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</si>
  <si>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</si>
  <si>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</si>
  <si>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</si>
  <si>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</si>
  <si>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 xml:space="preserve">Tutti i dati vengono inseriti nel foglio di calcolo "Input". I campi di input sono contrassegnati da un colore a seconda del tipo di inserimento (si veda a destra).
Le caratteristiche della compensazione dell'indice (riga 48 e seguenti) possono essere compilate solamente quando sono disponibili le verifiche dei signoli edifici e non sono obbligatorie nella certificazione provvisoria. </t>
  </si>
  <si>
    <t>Edifici nell'inventario di protezione: i regolamenti comunali permettono l'installazione di impianti PV?</t>
  </si>
  <si>
    <t>%</t>
  </si>
  <si>
    <t>Feuille de calcul "Aperçu"</t>
  </si>
  <si>
    <t>Cet outil d'aide est nécessaire pour la justification du respect des exigences suivantes :
 - A1.1 Certification Minergie (-P/-A/-ECO) 
- C1.1 Énergie d'exploitation 
- C1.4 Utilisation de l'énergie solaire 
- C2.1 Émissions de gaz à effet de serre gris
 La liste "Zu_erbringende_Nachweise_Minergie_Areal_2023.1.D_F_I.xlsm" indique quels justificatifs complémentaires doivent être fournis.</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</si>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</sst>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6"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s>
  <fills count="12">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bottom/>
      <diagonal/>
    </border>
    <border>
      <left style="thin">
        <color indexed="64"/>
      </left>
      <right style="thin">
        <color indexed="64"/>
      </right>
      <top/>
      <bottom style="thin">
        <color indexed="64"/>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52">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3" fontId="9" fillId="0" borderId="8" xfId="0" applyNumberFormat="1" applyFont="1" applyBorder="1" applyAlignment="1" applyProtection="1">
      <alignment horizontal="center" vertical="center"/>
      <protection locked="0"/>
    </xf>
    <xf numFmtId="3" fontId="9" fillId="0" borderId="9" xfId="0" applyNumberFormat="1" applyFont="1" applyBorder="1" applyAlignment="1" applyProtection="1">
      <alignment horizontal="center" vertical="center"/>
      <protection locked="0"/>
    </xf>
    <xf numFmtId="164" fontId="9" fillId="0" borderId="5" xfId="0" applyNumberFormat="1" applyFont="1" applyBorder="1" applyAlignment="1" applyProtection="1">
      <alignment horizontal="center" vertical="center"/>
      <protection locked="0"/>
    </xf>
    <xf numFmtId="164" fontId="9" fillId="0" borderId="6" xfId="0" applyNumberFormat="1" applyFont="1" applyBorder="1" applyAlignment="1" applyProtection="1">
      <alignment horizontal="center" vertical="center"/>
      <protection locked="0"/>
    </xf>
    <xf numFmtId="164" fontId="9" fillId="0" borderId="11" xfId="0" applyNumberFormat="1" applyFont="1" applyBorder="1" applyAlignment="1" applyProtection="1">
      <alignment horizontal="center" vertical="center"/>
      <protection locked="0"/>
    </xf>
    <xf numFmtId="164" fontId="9" fillId="0" borderId="12" xfId="0" applyNumberFormat="1" applyFont="1" applyBorder="1" applyAlignment="1" applyProtection="1">
      <alignment horizontal="center" vertical="center"/>
      <protection locked="0"/>
    </xf>
    <xf numFmtId="166" fontId="9" fillId="0" borderId="11" xfId="0" applyNumberFormat="1" applyFont="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0" fontId="18" fillId="0" borderId="0" xfId="0" applyFont="1"/>
    <xf numFmtId="0" fontId="19" fillId="0" borderId="0" xfId="0" applyFont="1"/>
    <xf numFmtId="3" fontId="9" fillId="0" borderId="11" xfId="0" applyNumberFormat="1" applyFont="1" applyBorder="1" applyAlignment="1" applyProtection="1">
      <alignment horizontal="center" vertical="center"/>
      <protection locked="0"/>
    </xf>
    <xf numFmtId="3" fontId="9" fillId="0" borderId="12" xfId="0" applyNumberFormat="1" applyFont="1" applyBorder="1" applyAlignment="1" applyProtection="1">
      <alignment horizontal="center" vertical="center"/>
      <protection locked="0"/>
    </xf>
    <xf numFmtId="0" fontId="3" fillId="0" borderId="16" xfId="0" applyFont="1" applyBorder="1" applyAlignment="1">
      <alignment horizontal="left" vertical="center"/>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3" fontId="9" fillId="0" borderId="28"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3" fontId="9" fillId="0" borderId="25" xfId="0" applyNumberFormat="1"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10" fillId="0" borderId="0" xfId="0" applyFont="1" applyAlignment="1">
      <alignment horizontal="left" wrapText="1"/>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166" fontId="8" fillId="0" borderId="6" xfId="0" applyNumberFormat="1"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166" fontId="8" fillId="0" borderId="9" xfId="0" applyNumberFormat="1" applyFont="1" applyBorder="1" applyAlignment="1">
      <alignment horizontal="center" vertical="center"/>
    </xf>
    <xf numFmtId="0" fontId="10" fillId="0" borderId="19" xfId="0" applyFont="1" applyBorder="1" applyAlignment="1">
      <alignment horizontal="left" vertical="center" wrapText="1"/>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166" fontId="10" fillId="0" borderId="12"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164" fontId="8" fillId="0" borderId="21" xfId="0" applyNumberFormat="1" applyFont="1" applyBorder="1" applyAlignment="1">
      <alignment horizontal="center" vertical="center"/>
    </xf>
    <xf numFmtId="0" fontId="20" fillId="0" borderId="0" xfId="0" applyFont="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4" xfId="0" applyFont="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righ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2" fillId="0" borderId="0" xfId="0" applyFont="1" applyAlignment="1">
      <alignment horizontal="left"/>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3" fontId="9" fillId="0" borderId="2" xfId="0" applyNumberFormat="1" applyFont="1" applyBorder="1" applyAlignment="1">
      <alignment horizontal="center" vertical="center"/>
    </xf>
    <xf numFmtId="3" fontId="3" fillId="0" borderId="2" xfId="0" applyNumberFormat="1" applyFont="1" applyBorder="1" applyAlignment="1">
      <alignment horizontal="right" vertical="center"/>
    </xf>
    <xf numFmtId="0" fontId="3" fillId="0" borderId="2" xfId="0" applyFont="1" applyBorder="1" applyAlignment="1">
      <alignment horizontal="left" vertical="center"/>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3" fontId="3" fillId="0" borderId="4" xfId="0" applyNumberFormat="1" applyFont="1" applyBorder="1" applyAlignment="1">
      <alignment horizontal="righ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3" fontId="8" fillId="0" borderId="9" xfId="0" applyNumberFormat="1" applyFont="1" applyBorder="1" applyAlignment="1">
      <alignment horizontal="center"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0" fontId="3" fillId="0" borderId="10" xfId="0" applyFont="1" applyBorder="1" applyAlignment="1">
      <alignmen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8" fillId="2" borderId="6" xfId="0" applyFont="1" applyFill="1" applyBorder="1" applyAlignment="1" applyProtection="1">
      <alignment horizontal="center" vertical="center"/>
      <protection locked="0"/>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3" fillId="0" borderId="15"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165" fontId="10" fillId="0" borderId="42" xfId="0" applyNumberFormat="1" applyFont="1" applyBorder="1" applyAlignment="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9" fontId="3" fillId="0" borderId="25" xfId="2" applyFont="1" applyBorder="1" applyAlignment="1" applyProtection="1">
      <alignment horizontal="center" vertical="center"/>
    </xf>
    <xf numFmtId="9" fontId="3" fillId="0" borderId="69" xfId="2" applyFont="1" applyBorder="1" applyAlignment="1" applyProtection="1">
      <alignment horizontal="center" vertical="center"/>
    </xf>
    <xf numFmtId="165" fontId="10" fillId="0" borderId="26" xfId="0" applyNumberFormat="1"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165" fontId="3" fillId="0" borderId="25" xfId="0" applyNumberFormat="1" applyFont="1" applyBorder="1" applyAlignment="1">
      <alignment horizontal="center" vertical="center"/>
    </xf>
    <xf numFmtId="165" fontId="3" fillId="0" borderId="69" xfId="0" applyNumberFormat="1" applyFont="1" applyBorder="1" applyAlignment="1">
      <alignment horizontal="center" vertical="center"/>
    </xf>
    <xf numFmtId="0" fontId="15" fillId="0" borderId="25" xfId="0" applyFont="1" applyBorder="1" applyAlignment="1">
      <alignment horizontal="center" vertical="center"/>
    </xf>
    <xf numFmtId="164" fontId="3" fillId="0" borderId="25" xfId="0" applyNumberFormat="1" applyFont="1" applyBorder="1" applyAlignment="1">
      <alignment horizontal="center" vertical="center"/>
    </xf>
    <xf numFmtId="164" fontId="3" fillId="0" borderId="69" xfId="0" applyNumberFormat="1" applyFont="1" applyBorder="1" applyAlignment="1">
      <alignment horizontal="center" vertical="center"/>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70" xfId="0" applyFont="1" applyBorder="1" applyAlignment="1">
      <alignment horizontal="center" vertical="center"/>
    </xf>
    <xf numFmtId="164" fontId="8" fillId="0" borderId="70" xfId="0" applyNumberFormat="1" applyFont="1" applyBorder="1" applyAlignment="1">
      <alignment horizontal="center" vertical="center"/>
    </xf>
    <xf numFmtId="164" fontId="8" fillId="0" borderId="71" xfId="0" applyNumberFormat="1" applyFont="1" applyBorder="1" applyAlignment="1">
      <alignment horizontal="center" vertical="center"/>
    </xf>
    <xf numFmtId="0" fontId="8" fillId="0" borderId="72"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3" xfId="0" applyNumberFormat="1" applyFont="1" applyBorder="1" applyAlignment="1">
      <alignment horizontal="center" vertical="center"/>
    </xf>
    <xf numFmtId="0" fontId="10" fillId="0" borderId="74"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5"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left" vertical="top"/>
    </xf>
    <xf numFmtId="164" fontId="9" fillId="0" borderId="22" xfId="0" applyNumberFormat="1" applyFont="1" applyBorder="1" applyAlignment="1" applyProtection="1">
      <alignment horizontal="left" vertical="top"/>
      <protection locked="0"/>
    </xf>
    <xf numFmtId="164" fontId="9" fillId="0" borderId="36" xfId="0" applyNumberFormat="1" applyFont="1" applyBorder="1" applyAlignment="1" applyProtection="1">
      <alignment horizontal="left" vertical="top"/>
      <protection locked="0"/>
    </xf>
    <xf numFmtId="164" fontId="3" fillId="0" borderId="0" xfId="0" applyNumberFormat="1" applyFont="1" applyAlignment="1">
      <alignment horizontal="left" vertical="top"/>
    </xf>
    <xf numFmtId="0" fontId="3" fillId="0" borderId="0" xfId="0" applyFont="1" applyAlignment="1">
      <alignment horizontal="left" vertical="center" wrapText="1"/>
    </xf>
    <xf numFmtId="164" fontId="9" fillId="0" borderId="0" xfId="0" applyNumberFormat="1" applyFont="1" applyAlignment="1">
      <alignment horizontal="center" vertical="center"/>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3" fontId="9" fillId="0" borderId="21" xfId="0" applyNumberFormat="1" applyFont="1" applyBorder="1" applyAlignment="1" applyProtection="1">
      <alignment horizontal="center" vertical="center"/>
      <protection locked="0"/>
    </xf>
    <xf numFmtId="3" fontId="9" fillId="0" borderId="76" xfId="0" applyNumberFormat="1" applyFont="1" applyBorder="1" applyAlignment="1" applyProtection="1">
      <alignment horizontal="center" vertical="center"/>
      <protection locked="0"/>
    </xf>
    <xf numFmtId="0" fontId="2" fillId="0" borderId="13" xfId="0" applyFont="1" applyBorder="1" applyAlignment="1">
      <alignment horizontal="left"/>
    </xf>
    <xf numFmtId="0" fontId="3" fillId="0" borderId="14" xfId="0" applyFont="1" applyBorder="1" applyAlignment="1">
      <alignment horizontal="center" vertical="center"/>
    </xf>
    <xf numFmtId="3" fontId="9" fillId="0" borderId="14" xfId="0" applyNumberFormat="1" applyFont="1" applyBorder="1" applyAlignment="1">
      <alignment horizontal="center" vertical="center"/>
    </xf>
    <xf numFmtId="3" fontId="9" fillId="0" borderId="47" xfId="0" applyNumberFormat="1" applyFont="1" applyBorder="1" applyAlignment="1">
      <alignment horizontal="center" vertical="center"/>
    </xf>
    <xf numFmtId="164" fontId="3" fillId="0" borderId="17" xfId="0" applyNumberFormat="1" applyFont="1" applyBorder="1" applyAlignment="1">
      <alignment horizontal="center" vertical="center"/>
    </xf>
    <xf numFmtId="0" fontId="3" fillId="0" borderId="77" xfId="0" applyFont="1" applyBorder="1" applyAlignment="1">
      <alignment vertical="center"/>
    </xf>
    <xf numFmtId="0" fontId="3" fillId="0" borderId="30" xfId="0" applyFont="1" applyBorder="1" applyAlignment="1">
      <alignment horizontal="left" vertical="center"/>
    </xf>
    <xf numFmtId="0" fontId="3" fillId="0" borderId="49" xfId="0" applyFont="1" applyBorder="1" applyAlignment="1">
      <alignment horizontal="left" vertical="center"/>
    </xf>
    <xf numFmtId="0" fontId="9" fillId="0" borderId="21"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10" fillId="0" borderId="0" xfId="0" applyFont="1" applyAlignment="1">
      <alignment horizontal="left"/>
    </xf>
    <xf numFmtId="0" fontId="8" fillId="0" borderId="16" xfId="0" applyFont="1" applyBorder="1" applyAlignment="1">
      <alignment horizontal="left" wrapText="1"/>
    </xf>
    <xf numFmtId="0" fontId="8" fillId="0" borderId="18" xfId="0" applyFont="1" applyBorder="1" applyAlignment="1">
      <alignment horizontal="center"/>
    </xf>
    <xf numFmtId="164" fontId="8" fillId="0" borderId="8" xfId="0" applyNumberFormat="1" applyFont="1" applyBorder="1" applyAlignment="1">
      <alignment horizontal="center"/>
    </xf>
    <xf numFmtId="164" fontId="8" fillId="0" borderId="9" xfId="0" applyNumberFormat="1" applyFont="1" applyBorder="1" applyAlignment="1">
      <alignment horizontal="center"/>
    </xf>
    <xf numFmtId="164" fontId="8" fillId="0" borderId="7" xfId="0" applyNumberFormat="1" applyFont="1" applyBorder="1" applyAlignment="1">
      <alignment horizontal="right"/>
    </xf>
    <xf numFmtId="0" fontId="8" fillId="0" borderId="9" xfId="0" applyFont="1" applyBorder="1" applyAlignment="1">
      <alignment horizontal="left"/>
    </xf>
    <xf numFmtId="164" fontId="8" fillId="0" borderId="31" xfId="0" applyNumberFormat="1" applyFont="1" applyBorder="1" applyAlignment="1">
      <alignment horizontal="center" vertical="center"/>
    </xf>
    <xf numFmtId="164" fontId="8" fillId="0" borderId="31" xfId="0" applyNumberFormat="1" applyFont="1" applyBorder="1" applyAlignment="1">
      <alignment horizontal="center"/>
    </xf>
    <xf numFmtId="164" fontId="8" fillId="0" borderId="0" xfId="0" applyNumberFormat="1" applyFont="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164" fontId="8" fillId="0" borderId="7" xfId="0" applyNumberFormat="1" applyFont="1" applyBorder="1" applyAlignment="1">
      <alignment horizontal="center" vertical="center"/>
    </xf>
    <xf numFmtId="164" fontId="8" fillId="0" borderId="7" xfId="0" applyNumberFormat="1" applyFont="1" applyBorder="1" applyAlignment="1">
      <alignment horizontal="center"/>
    </xf>
    <xf numFmtId="164" fontId="8" fillId="0" borderId="10" xfId="0" applyNumberFormat="1" applyFont="1" applyBorder="1" applyAlignment="1">
      <alignment horizontal="center" vertical="center"/>
    </xf>
    <xf numFmtId="164" fontId="8" fillId="0" borderId="12" xfId="0" applyNumberFormat="1" applyFont="1" applyBorder="1" applyAlignment="1">
      <alignment horizontal="center" vertical="center"/>
    </xf>
    <xf numFmtId="164" fontId="10" fillId="0" borderId="0" xfId="0" applyNumberFormat="1" applyFont="1" applyAlignment="1">
      <alignment horizont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8" fillId="0" borderId="24" xfId="0" applyFont="1" applyBorder="1" applyAlignment="1">
      <alignment horizontal="left"/>
    </xf>
    <xf numFmtId="0" fontId="8" fillId="0" borderId="15" xfId="0" applyFont="1" applyBorder="1" applyAlignment="1">
      <alignment horizont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2" fillId="0" borderId="38" xfId="0" applyFont="1" applyBorder="1" applyAlignment="1">
      <alignment vertical="center" textRotation="90"/>
    </xf>
    <xf numFmtId="0" fontId="3" fillId="0" borderId="29" xfId="0" applyFont="1" applyBorder="1" applyAlignment="1">
      <alignment vertical="center"/>
    </xf>
    <xf numFmtId="0" fontId="3" fillId="0" borderId="40" xfId="0" applyFont="1" applyBorder="1" applyAlignment="1">
      <alignment horizontal="left" vertical="center"/>
    </xf>
    <xf numFmtId="3" fontId="9" fillId="0" borderId="54" xfId="0" applyNumberFormat="1" applyFont="1" applyBorder="1" applyAlignment="1" applyProtection="1">
      <alignment horizontal="center" vertical="center"/>
      <protection locked="0"/>
    </xf>
    <xf numFmtId="3" fontId="9" fillId="0" borderId="30" xfId="0" applyNumberFormat="1" applyFont="1" applyBorder="1" applyAlignment="1" applyProtection="1">
      <alignment horizontal="center" vertical="center"/>
      <protection locked="0"/>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52" xfId="0" applyFont="1" applyBorder="1"/>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9" fontId="8" fillId="0" borderId="9" xfId="2" applyFont="1" applyBorder="1" applyAlignment="1" applyProtection="1">
      <alignment horizontal="center" vertical="center"/>
      <protection locked="0"/>
    </xf>
    <xf numFmtId="3" fontId="9" fillId="0" borderId="8" xfId="0" applyNumberFormat="1" applyFont="1" applyBorder="1" applyAlignment="1">
      <alignment horizontal="center" vertical="center"/>
    </xf>
    <xf numFmtId="3" fontId="9" fillId="0" borderId="9" xfId="0" applyNumberFormat="1" applyFont="1" applyBorder="1" applyAlignment="1">
      <alignment horizontal="center" vertical="center"/>
    </xf>
    <xf numFmtId="3" fontId="8" fillId="0" borderId="11" xfId="2" applyNumberFormat="1" applyFont="1" applyBorder="1" applyAlignment="1" applyProtection="1">
      <alignment horizontal="center" vertical="center"/>
    </xf>
    <xf numFmtId="3" fontId="8" fillId="0" borderId="12" xfId="2" applyNumberFormat="1" applyFont="1" applyBorder="1" applyAlignment="1" applyProtection="1">
      <alignment horizontal="center" vertical="center"/>
    </xf>
    <xf numFmtId="164" fontId="9" fillId="0" borderId="8" xfId="0" applyNumberFormat="1" applyFont="1" applyBorder="1" applyAlignment="1" applyProtection="1">
      <alignment horizontal="center" vertical="center"/>
      <protection locked="0"/>
    </xf>
    <xf numFmtId="164" fontId="9" fillId="0" borderId="9" xfId="0" applyNumberFormat="1" applyFont="1" applyBorder="1" applyAlignment="1" applyProtection="1">
      <alignment horizontal="center" vertical="center"/>
      <protection locked="0"/>
    </xf>
    <xf numFmtId="164" fontId="8" fillId="0" borderId="77"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166" fontId="9" fillId="0" borderId="12" xfId="0" applyNumberFormat="1"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164" fontId="9" fillId="0" borderId="76" xfId="0" applyNumberFormat="1" applyFont="1" applyBorder="1" applyAlignment="1" applyProtection="1">
      <alignment horizontal="center" vertical="center"/>
      <protection locked="0"/>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3" fontId="9" fillId="0" borderId="5" xfId="0" applyNumberFormat="1" applyFont="1" applyBorder="1" applyAlignment="1" applyProtection="1">
      <alignment horizontal="center" vertical="center"/>
      <protection locked="0"/>
    </xf>
    <xf numFmtId="3" fontId="9" fillId="0" borderId="6" xfId="0" applyNumberFormat="1" applyFont="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9" xfId="0" applyFont="1" applyBorder="1" applyAlignment="1">
      <alignment horizontal="center" vertical="center" textRotation="90"/>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0" fontId="3" fillId="0" borderId="0" xfId="0" applyFont="1" applyFill="1" applyAlignment="1">
      <alignment wrapText="1"/>
    </xf>
    <xf numFmtId="0" fontId="3" fillId="0" borderId="0" xfId="0" quotePrefix="1" applyFont="1" applyFill="1" applyAlignment="1">
      <alignment wrapText="1"/>
    </xf>
  </cellXfs>
  <cellStyles count="3">
    <cellStyle name="Komma" xfId="1" builtinId="3"/>
    <cellStyle name="Prozent" xfId="2" builtinId="5"/>
    <cellStyle name="Standard" xfId="0" builtinId="0"/>
  </cellStyles>
  <dxfs count="41">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1"/>
      </font>
      <fill>
        <patternFill>
          <bgColor rgb="FFFFFF00"/>
        </patternFill>
      </fill>
    </dxf>
    <dxf>
      <font>
        <color theme="1"/>
      </font>
      <fill>
        <patternFill>
          <bgColor rgb="FFFFFF00"/>
        </patternFill>
      </fill>
    </dxf>
    <dxf>
      <font>
        <color theme="1"/>
      </font>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1"/>
      </font>
    </dxf>
    <dxf>
      <font>
        <color theme="1"/>
      </font>
      <fill>
        <patternFill>
          <bgColor rgb="FFEEFFDD"/>
        </patternFill>
      </fill>
    </dxf>
    <dxf>
      <font>
        <color theme="1"/>
      </font>
      <fill>
        <patternFill>
          <bgColor rgb="FFFFFF00"/>
        </patternFill>
      </fill>
    </dxf>
    <dxf>
      <font>
        <color theme="1"/>
      </font>
      <fill>
        <patternFill>
          <bgColor rgb="FFFFFF00"/>
        </patternFill>
      </fill>
    </dxf>
    <dxf>
      <font>
        <color theme="1"/>
      </font>
      <fill>
        <patternFill>
          <bgColor rgb="FFEEFFDD"/>
        </patternFill>
      </fill>
    </dxf>
    <dxf>
      <font>
        <color theme="1"/>
      </font>
      <fill>
        <patternFill>
          <bgColor rgb="FFFFFF00"/>
        </patternFill>
      </fill>
    </dxf>
    <dxf>
      <font>
        <color theme="1"/>
      </font>
      <fill>
        <patternFill>
          <bgColor rgb="FFFFFF00"/>
        </patternFill>
      </fill>
    </dxf>
    <dxf>
      <font>
        <color theme="1"/>
      </font>
      <fill>
        <patternFill>
          <bgColor rgb="FFFCE4D6"/>
        </patternFill>
      </fill>
    </dxf>
    <dxf>
      <font>
        <color theme="1"/>
      </font>
      <fill>
        <patternFill>
          <bgColor rgb="FFEEFFDD"/>
        </patternFill>
      </fill>
    </dxf>
    <dxf>
      <font>
        <color theme="0"/>
      </font>
      <fill>
        <patternFill patternType="none">
          <bgColor auto="1"/>
        </patternFill>
      </fill>
    </dxf>
    <dxf>
      <font>
        <color theme="1"/>
      </font>
      <fill>
        <patternFill>
          <bgColor rgb="FFFFFF00"/>
        </patternFill>
      </fill>
    </dxf>
    <dxf>
      <font>
        <color theme="1"/>
      </font>
      <fill>
        <patternFill>
          <bgColor rgb="FFEEFFDD"/>
        </patternFill>
      </fill>
    </dxf>
    <dxf>
      <font>
        <color theme="1"/>
      </font>
      <fill>
        <patternFill>
          <bgColor rgb="FFFFFF99"/>
        </patternFill>
      </fill>
    </dxf>
    <dxf>
      <font>
        <color theme="1"/>
      </font>
      <fill>
        <patternFill>
          <bgColor theme="5" tint="0.79998168889431442"/>
        </patternFill>
      </fill>
    </dxf>
    <dxf>
      <font>
        <color theme="1"/>
      </font>
      <fill>
        <patternFill>
          <bgColor rgb="FFEEFFDD"/>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EEFFDD"/>
        </patternFill>
      </fill>
    </dxf>
    <dxf>
      <font>
        <color theme="1"/>
      </font>
      <fill>
        <patternFill>
          <bgColor rgb="FFFFFF00"/>
        </patternFill>
      </fill>
    </dxf>
    <dxf>
      <font>
        <color theme="0"/>
      </font>
    </dxf>
  </dxfs>
  <tableStyles count="0" defaultTableStyle="TableStyleMedium2" defaultPivotStyle="PivotStyleLight16"/>
  <colors>
    <mruColors>
      <color rgb="FFEEFFDD"/>
      <color rgb="FFFFFFFF"/>
      <color rgb="FFFF3399"/>
      <color rgb="FFFF5050"/>
      <color rgb="FFFFFF99"/>
      <color rgb="FFFCE4D6"/>
      <color rgb="FFCCCCFF"/>
      <color rgb="FF99FF99"/>
      <color rgb="FFFFB7B7"/>
      <color rgb="FFEBD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Energiebezugsflächen des Areals</c:v>
            </c:pt>
          </c:strCache>
        </c:strRef>
      </c:tx>
      <c:layout>
        <c:manualLayout>
          <c:xMode val="edge"/>
          <c:yMode val="edge"/>
          <c:x val="0.11046782722426171"/>
          <c:y val="7.8095616319951433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2412988329881133"/>
          <c:y val="0.24641030885661688"/>
          <c:w val="0.33367241301133693"/>
          <c:h val="0.4920678615597186"/>
        </c:manualLayout>
      </c:layout>
      <c:pieChart>
        <c:varyColors val="1"/>
        <c:ser>
          <c:idx val="0"/>
          <c:order val="0"/>
          <c:explosion val="5"/>
          <c:dPt>
            <c:idx val="0"/>
            <c:bubble3D val="0"/>
            <c:explosion val="3"/>
            <c:spPr>
              <a:solidFill>
                <a:schemeClr val="accent5">
                  <a:lumMod val="60000"/>
                  <a:lumOff val="40000"/>
                </a:schemeClr>
              </a:solidFill>
              <a:ln w="19050">
                <a:solidFill>
                  <a:schemeClr val="accent5"/>
                </a:solidFill>
              </a:ln>
              <a:effectLst/>
            </c:spPr>
            <c:extLst>
              <c:ext xmlns:c16="http://schemas.microsoft.com/office/drawing/2014/chart" uri="{C3380CC4-5D6E-409C-BE32-E72D297353CC}">
                <c16:uniqueId val="{00000001-9AF9-474C-A8ED-5F4B4BE48645}"/>
              </c:ext>
            </c:extLst>
          </c:dPt>
          <c:dPt>
            <c:idx val="1"/>
            <c:bubble3D val="0"/>
            <c:explosion val="2"/>
            <c:spPr>
              <a:solidFill>
                <a:schemeClr val="accent2">
                  <a:lumMod val="20000"/>
                  <a:lumOff val="80000"/>
                </a:schemeClr>
              </a:solidFill>
              <a:ln w="19050">
                <a:solidFill>
                  <a:schemeClr val="accent2"/>
                </a:solidFill>
              </a:ln>
              <a:effectLst/>
            </c:spPr>
            <c:extLst>
              <c:ext xmlns:c16="http://schemas.microsoft.com/office/drawing/2014/chart" uri="{C3380CC4-5D6E-409C-BE32-E72D297353CC}">
                <c16:uniqueId val="{00000003-9AF9-474C-A8ED-5F4B4BE48645}"/>
              </c:ext>
            </c:extLst>
          </c:dPt>
          <c:dPt>
            <c:idx val="2"/>
            <c:bubble3D val="0"/>
            <c:explosion val="2"/>
            <c:spPr>
              <a:solidFill>
                <a:schemeClr val="accent3">
                  <a:lumMod val="20000"/>
                  <a:lumOff val="80000"/>
                </a:schemeClr>
              </a:solidFill>
              <a:ln w="19050">
                <a:solidFill>
                  <a:schemeClr val="accent3"/>
                </a:solidFill>
              </a:ln>
              <a:effectLst/>
            </c:spPr>
            <c:extLst>
              <c:ext xmlns:c16="http://schemas.microsoft.com/office/drawing/2014/chart" uri="{C3380CC4-5D6E-409C-BE32-E72D297353CC}">
                <c16:uniqueId val="{00000005-9AF9-474C-A8ED-5F4B4BE48645}"/>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Uebersicht!$B$23:$B$25</c:f>
              <c:strCache>
                <c:ptCount val="3"/>
                <c:pt idx="0">
                  <c:v>Neubauten nach Minergie</c:v>
                </c:pt>
                <c:pt idx="1">
                  <c:v>Erneuerungen nach Minergie (inkl. Systemerneuerungen)</c:v>
                </c:pt>
                <c:pt idx="2">
                  <c:v>Bestandesbauten mit Ausnahmeregelung</c:v>
                </c:pt>
              </c:strCache>
            </c:strRef>
          </c:cat>
          <c:val>
            <c:numRef>
              <c:f>Uebersicht!$F$23:$F$25</c:f>
              <c:numCache>
                <c:formatCode>#,##0</c:formatCode>
                <c:ptCount val="3"/>
                <c:pt idx="0">
                  <c:v>0</c:v>
                </c:pt>
                <c:pt idx="1">
                  <c:v>0</c:v>
                </c:pt>
                <c:pt idx="2">
                  <c:v>0</c:v>
                </c:pt>
              </c:numCache>
            </c:numRef>
          </c:val>
          <c:extLs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1</xdr:row>
      <xdr:rowOff>164159</xdr:rowOff>
    </xdr:from>
    <xdr:to>
      <xdr:col>2</xdr:col>
      <xdr:colOff>517441</xdr:colOff>
      <xdr:row>1</xdr:row>
      <xdr:rowOff>492138</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6791" y="310209"/>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1</xdr:row>
      <xdr:rowOff>77785</xdr:rowOff>
    </xdr:from>
    <xdr:to>
      <xdr:col>2</xdr:col>
      <xdr:colOff>2669224</xdr:colOff>
      <xdr:row>1</xdr:row>
      <xdr:rowOff>402590</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5788" y="225423"/>
          <a:ext cx="2519998"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37</xdr:row>
      <xdr:rowOff>157162</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171450</xdr:colOff>
      <xdr:row>1</xdr:row>
      <xdr:rowOff>196850</xdr:rowOff>
    </xdr:from>
    <xdr:to>
      <xdr:col>1</xdr:col>
      <xdr:colOff>2688276</xdr:colOff>
      <xdr:row>1</xdr:row>
      <xdr:rowOff>531181</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3550" y="342900"/>
          <a:ext cx="2520000" cy="32797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tabSelected="1" zoomScaleNormal="100" zoomScalePageLayoutView="70" workbookViewId="0">
      <selection activeCell="B10" sqref="B10:D16"/>
    </sheetView>
  </sheetViews>
  <sheetFormatPr baseColWidth="10" defaultColWidth="10.85546875" defaultRowHeight="12" outlineLevelCol="1" x14ac:dyDescent="0.2"/>
  <cols>
    <col min="1" max="1" width="3.85546875" style="1" customWidth="1"/>
    <col min="2" max="2" width="30.85546875" style="6" customWidth="1"/>
    <col min="3" max="3" width="11.85546875" style="1" customWidth="1"/>
    <col min="4" max="4" width="17.28515625" style="3" customWidth="1"/>
    <col min="5" max="5" width="29.42578125" style="3" customWidth="1"/>
    <col min="6" max="6" width="24.140625" style="3" customWidth="1"/>
    <col min="7" max="7" width="21.85546875" style="3" customWidth="1"/>
    <col min="8" max="8" width="29.42578125" style="3" customWidth="1"/>
    <col min="9" max="12" width="28" style="3" hidden="1" customWidth="1" outlineLevel="1"/>
    <col min="13" max="13" width="28.570312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40625" style="3" customWidth="1"/>
    <col min="25" max="25" width="10.85546875" style="9" hidden="1" customWidth="1"/>
    <col min="26" max="26" width="25.140625" style="7" hidden="1" customWidth="1"/>
    <col min="27" max="16384" width="10.85546875" style="1"/>
  </cols>
  <sheetData>
    <row r="2" spans="2:7" ht="54" customHeight="1" x14ac:dyDescent="0.2">
      <c r="B2" s="11"/>
      <c r="C2" s="12"/>
      <c r="D2" s="418" t="str">
        <f>Uebersetzung!D6</f>
        <v>Anleitung</v>
      </c>
      <c r="E2" s="419" t="str">
        <f>Uebersetzung!D4</f>
        <v>Hilfstool zu Vorgaben A1.1, C1.1, C1.4 und C2.1</v>
      </c>
      <c r="F2" s="419"/>
      <c r="G2" s="13" t="str">
        <f>Uebersetzung!D11&amp;" "&amp;Uebersetzung!C2&amp;"."&amp;Uebersetzung!A2</f>
        <v>Version 2023.1</v>
      </c>
    </row>
    <row r="3" spans="2:7" ht="16.5" customHeight="1" x14ac:dyDescent="0.2">
      <c r="C3" s="5"/>
      <c r="D3" s="10"/>
      <c r="E3" s="10"/>
      <c r="G3" s="14"/>
    </row>
    <row r="4" spans="2:7" ht="22.5" customHeight="1" x14ac:dyDescent="0.2">
      <c r="B4" s="216" t="str">
        <f>Uebersetzung!D100</f>
        <v>Hinweise zum Hilftstool</v>
      </c>
      <c r="C4" s="40"/>
      <c r="D4" s="41"/>
      <c r="E4" s="41"/>
      <c r="F4" s="38"/>
      <c r="G4" s="42"/>
    </row>
    <row r="5" spans="2:7" ht="120.75" customHeight="1" x14ac:dyDescent="0.2">
      <c r="B5" s="424" t="str">
        <f>Uebersetzung!D7</f>
        <v xml:space="preserve">Dieses Hilfstool wird für den Nachweis folgender Vorgaben benötigt:
- A1.1 Zertifizierung nach Minergie (-P/-A/-ECO)
- C1.1 Betriebsenergie
- C1.4 Nutzung solare Energie
- C2.1 Treibhausgasemissionen in der Erstellung
Der Liste "Zu_erbringende_Nachweise_Minergie_Areal_2023.1.D_F_I.xlsm" ist zu entnehmen, welche ergänzenden Nachweise eingereicht werden müssen.
</v>
      </c>
      <c r="C5" s="425"/>
      <c r="D5" s="425"/>
      <c r="E5" s="425"/>
      <c r="F5" s="425"/>
      <c r="G5" s="426"/>
    </row>
    <row r="6" spans="2:7" x14ac:dyDescent="0.2">
      <c r="B6" s="220"/>
      <c r="C6" s="221"/>
      <c r="D6" s="221"/>
      <c r="E6" s="221"/>
      <c r="F6" s="221"/>
      <c r="G6" s="222"/>
    </row>
    <row r="7" spans="2:7" ht="22.5" customHeight="1" x14ac:dyDescent="0.2">
      <c r="B7" s="39" t="str">
        <f>Uebersetzung!D6</f>
        <v>Anleitung</v>
      </c>
      <c r="C7" s="224"/>
      <c r="D7" s="224"/>
      <c r="E7" s="224"/>
      <c r="F7" s="224"/>
      <c r="G7" s="225"/>
    </row>
    <row r="8" spans="2:7" ht="4.1500000000000004" customHeight="1" x14ac:dyDescent="0.2">
      <c r="B8" s="223"/>
      <c r="C8" s="224"/>
      <c r="D8" s="224"/>
      <c r="E8" s="224"/>
      <c r="F8" s="224"/>
      <c r="G8" s="225"/>
    </row>
    <row r="9" spans="2:7" ht="22.5" customHeight="1" x14ac:dyDescent="0.2">
      <c r="B9" s="226" t="str">
        <f>Uebersetzung!D104</f>
        <v>Tabellenblatt "Eingabe"</v>
      </c>
      <c r="C9" s="224"/>
      <c r="D9" s="224"/>
      <c r="E9" s="429"/>
      <c r="F9" s="429"/>
      <c r="G9" s="225"/>
    </row>
    <row r="10" spans="2:7" ht="20.65" customHeight="1" x14ac:dyDescent="0.2">
      <c r="B10" s="424" t="str">
        <f>Uebersetzung!D103</f>
        <v>Alle Eingaben erfolgen auf dem Tabellenblatt "Eingabe". Die Eingabefelder sind abhängig von der Art der Eingabe farbig markiert (siehe rechts).
Angaben zur Kompensation von Kennzahlen (Zeile 62 ff) können erst mit dem Vorliegen der Einzelgebäude-Nachweise ausgefüllt werden und sind in der provisorischen Zertifizierung nicht zwingend erforderlich.</v>
      </c>
      <c r="C10" s="425"/>
      <c r="D10" s="425"/>
      <c r="E10" s="428" t="str">
        <f>Uebersetzung!$D$8</f>
        <v>Eingabefeld</v>
      </c>
      <c r="F10" s="428"/>
      <c r="G10" s="219"/>
    </row>
    <row r="11" spans="2:7" ht="4.5" customHeight="1" x14ac:dyDescent="0.2">
      <c r="B11" s="424"/>
      <c r="C11" s="425"/>
      <c r="D11" s="425"/>
      <c r="G11" s="225"/>
    </row>
    <row r="12" spans="2:7" ht="20.65" customHeight="1" x14ac:dyDescent="0.2">
      <c r="B12" s="424"/>
      <c r="C12" s="425"/>
      <c r="D12" s="425"/>
      <c r="E12" s="430" t="str">
        <f>Uebersetzung!D163</f>
        <v>Eingabefeld (Freiwillig)</v>
      </c>
      <c r="F12" s="430"/>
      <c r="G12" s="219"/>
    </row>
    <row r="13" spans="2:7" ht="4.5" customHeight="1" x14ac:dyDescent="0.2">
      <c r="B13" s="424"/>
      <c r="C13" s="425"/>
      <c r="D13" s="425"/>
      <c r="G13" s="225"/>
    </row>
    <row r="14" spans="2:7" ht="20.65" customHeight="1" x14ac:dyDescent="0.2">
      <c r="B14" s="424"/>
      <c r="C14" s="425"/>
      <c r="D14" s="425"/>
      <c r="E14" s="427" t="str">
        <f>Uebersetzung!$D$10</f>
        <v>Auswahlfeld</v>
      </c>
      <c r="F14" s="427"/>
      <c r="G14" s="225"/>
    </row>
    <row r="15" spans="2:7" ht="6" customHeight="1" x14ac:dyDescent="0.2">
      <c r="B15" s="424"/>
      <c r="C15" s="425"/>
      <c r="D15" s="425"/>
      <c r="G15" s="225"/>
    </row>
    <row r="16" spans="2:7" ht="20.65" customHeight="1" x14ac:dyDescent="0.2">
      <c r="B16" s="424"/>
      <c r="C16" s="425"/>
      <c r="D16" s="425"/>
      <c r="E16" s="420" t="str">
        <f>Uebersetzung!$D$9</f>
        <v>Übertrag aus Gebäude-Minergie-Nachweis</v>
      </c>
      <c r="F16" s="420"/>
      <c r="G16" s="225"/>
    </row>
    <row r="17" spans="2:7" ht="31.15" customHeight="1" x14ac:dyDescent="0.2">
      <c r="B17" s="217"/>
      <c r="C17" s="218"/>
      <c r="D17" s="218"/>
      <c r="E17" s="227"/>
      <c r="F17" s="227"/>
      <c r="G17" s="225"/>
    </row>
    <row r="18" spans="2:7" ht="22.5" customHeight="1" x14ac:dyDescent="0.2">
      <c r="B18" s="226" t="str">
        <f>Uebersetzung!D105</f>
        <v>Tabellenblatt "Uebersicht"</v>
      </c>
      <c r="C18" s="224"/>
      <c r="D18" s="224"/>
      <c r="E18" s="224"/>
      <c r="F18" s="224"/>
      <c r="G18" s="225"/>
    </row>
    <row r="19" spans="2:7" ht="37.9" customHeight="1" x14ac:dyDescent="0.2">
      <c r="B19" s="421" t="str">
        <f>Uebersetzung!D106</f>
        <v>Alle Resultate sind auf dem Blatt "Uebersicht" verfügbar. Für die Zertifizierung ist die Unterschrift der Areal-Organisation, respektive der Bauherrschaft, auf dem Tabellenblatt "Uebersicht" erforderlich.</v>
      </c>
      <c r="C19" s="422"/>
      <c r="D19" s="422"/>
      <c r="E19" s="422"/>
      <c r="F19" s="422"/>
      <c r="G19" s="423"/>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72"/>
  <sheetViews>
    <sheetView showGridLines="0"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0" sqref="E10"/>
    </sheetView>
  </sheetViews>
  <sheetFormatPr baseColWidth="10" defaultColWidth="10.85546875" defaultRowHeight="12" outlineLevelCol="1" x14ac:dyDescent="0.2"/>
  <cols>
    <col min="1" max="1" width="2.28515625" style="144" customWidth="1"/>
    <col min="2" max="2" width="3.85546875" style="144" customWidth="1"/>
    <col min="3" max="3" width="52.85546875" style="143" customWidth="1"/>
    <col min="4" max="4" width="9.140625" style="144" customWidth="1"/>
    <col min="5" max="9" width="29.42578125" style="145" customWidth="1"/>
    <col min="10" max="13" width="28" style="145" customWidth="1"/>
    <col min="14" max="14" width="28.5703125" style="145" customWidth="1"/>
    <col min="15" max="15" width="28" style="145" hidden="1" customWidth="1" outlineLevel="1" collapsed="1"/>
    <col min="16" max="18" width="28" style="145" hidden="1" customWidth="1" outlineLevel="1"/>
    <col min="19" max="19" width="28" style="145" customWidth="1" collapsed="1"/>
    <col min="20" max="23" width="28" style="145" hidden="1" customWidth="1" outlineLevel="1"/>
    <col min="24" max="24" width="28" style="145" customWidth="1" collapsed="1"/>
    <col min="25" max="25" width="13.140625" style="145" hidden="1" customWidth="1"/>
    <col min="26" max="26" width="10.85546875" style="150" hidden="1" customWidth="1"/>
    <col min="27" max="27" width="25.140625" style="97" hidden="1" customWidth="1"/>
    <col min="28" max="28" width="10.85546875" style="144" customWidth="1"/>
    <col min="29" max="16384" width="10.85546875" style="144"/>
  </cols>
  <sheetData>
    <row r="1" spans="3:36" s="1" customFormat="1" x14ac:dyDescent="0.2">
      <c r="C1" s="6"/>
      <c r="E1" s="3"/>
      <c r="F1" s="3"/>
      <c r="G1" s="3"/>
      <c r="H1" s="3"/>
      <c r="I1" s="3"/>
      <c r="J1" s="3"/>
      <c r="K1" s="3"/>
      <c r="L1" s="3"/>
      <c r="M1" s="3"/>
      <c r="N1" s="3"/>
      <c r="O1" s="3"/>
      <c r="P1" s="3"/>
      <c r="Q1" s="3"/>
      <c r="R1" s="3"/>
      <c r="S1" s="3"/>
      <c r="T1" s="3"/>
      <c r="U1" s="3"/>
      <c r="V1" s="3"/>
      <c r="W1" s="3"/>
      <c r="X1" s="3"/>
      <c r="Y1" s="3"/>
      <c r="Z1" s="9"/>
      <c r="AA1" s="7"/>
    </row>
    <row r="2" spans="3:36" s="1" customFormat="1" ht="37.35" customHeight="1" x14ac:dyDescent="0.2">
      <c r="C2" s="11"/>
      <c r="D2" s="12"/>
      <c r="E2" s="418" t="str">
        <f>Uebersetzung!D131</f>
        <v>Eingabe</v>
      </c>
      <c r="F2" s="434" t="str">
        <f>Uebersetzung!D4</f>
        <v>Hilfstool zu Vorgaben A1.1, C1.1, C1.4 und C2.1</v>
      </c>
      <c r="G2" s="434"/>
      <c r="H2" s="367" t="str">
        <f>Uebersetzung!D11&amp;" "&amp;Uebersetzung!C2&amp;"."&amp;Uebersetzung!A2</f>
        <v>Version 2023.1</v>
      </c>
      <c r="I2" s="154"/>
      <c r="J2" s="154"/>
      <c r="K2" s="154"/>
      <c r="L2" s="154"/>
      <c r="M2" s="154"/>
      <c r="N2" s="154"/>
      <c r="O2" s="154"/>
      <c r="P2" s="154"/>
      <c r="Q2" s="154"/>
      <c r="R2" s="154"/>
      <c r="S2" s="154"/>
      <c r="T2" s="154"/>
      <c r="U2" s="154"/>
      <c r="V2" s="154"/>
      <c r="W2" s="154"/>
      <c r="X2" s="155"/>
      <c r="Y2" s="3"/>
      <c r="Z2" s="9"/>
      <c r="AA2" s="7"/>
    </row>
    <row r="3" spans="3:36" s="1" customFormat="1" ht="11.45" customHeight="1" x14ac:dyDescent="0.2">
      <c r="C3" s="6"/>
      <c r="D3" s="5"/>
      <c r="E3" s="156"/>
      <c r="F3" s="156"/>
      <c r="G3" s="157"/>
      <c r="H3" s="14"/>
      <c r="I3" s="3"/>
      <c r="J3" s="3"/>
      <c r="K3" s="3"/>
      <c r="L3" s="3"/>
      <c r="M3" s="3"/>
      <c r="N3" s="3"/>
      <c r="O3" s="3"/>
      <c r="P3" s="3"/>
      <c r="Q3" s="3"/>
      <c r="R3" s="3"/>
      <c r="S3" s="3"/>
      <c r="T3" s="3"/>
      <c r="U3" s="3"/>
      <c r="V3" s="3"/>
      <c r="W3" s="3"/>
      <c r="X3" s="3"/>
      <c r="Y3" s="3"/>
      <c r="Z3" s="9"/>
      <c r="AA3" s="7"/>
    </row>
    <row r="4" spans="3:36" s="1" customFormat="1" ht="15" customHeight="1" x14ac:dyDescent="0.2">
      <c r="D4" s="5"/>
      <c r="E4" s="65" t="str">
        <f>Uebersetzung!$D$10</f>
        <v>Auswahlfeld</v>
      </c>
      <c r="F4" s="66" t="str">
        <f>Uebersetzung!$D$8</f>
        <v>Eingabefeld</v>
      </c>
      <c r="G4" s="166" t="str">
        <f>Uebersetzung!D163</f>
        <v>Eingabefeld (Freiwillig)</v>
      </c>
      <c r="H4" s="64" t="str">
        <f>Uebersetzung!$D$9</f>
        <v>Übertrag aus Gebäude-Minergie-Nachweis</v>
      </c>
      <c r="I4" s="3"/>
      <c r="J4" s="3"/>
      <c r="K4" s="3"/>
      <c r="L4" s="3"/>
      <c r="M4" s="3"/>
      <c r="N4" s="3"/>
      <c r="O4" s="3"/>
      <c r="P4" s="3"/>
      <c r="Q4" s="3"/>
      <c r="R4" s="3"/>
      <c r="S4" s="3"/>
      <c r="T4" s="3"/>
      <c r="U4" s="3"/>
      <c r="V4" s="3"/>
      <c r="W4" s="3"/>
      <c r="X4" s="3"/>
      <c r="Y4" s="3"/>
      <c r="Z4" s="9"/>
      <c r="AA4" s="7"/>
    </row>
    <row r="5" spans="3:36" s="159" customFormat="1" ht="11.45" customHeight="1" x14ac:dyDescent="0.2">
      <c r="D5" s="158"/>
      <c r="F5" s="138"/>
      <c r="I5" s="138"/>
      <c r="J5" s="95"/>
      <c r="K5" s="160"/>
      <c r="L5" s="138"/>
      <c r="M5" s="161"/>
      <c r="N5" s="161"/>
      <c r="O5" s="161"/>
      <c r="P5" s="161"/>
      <c r="Q5" s="161"/>
      <c r="R5" s="161"/>
      <c r="S5" s="406" t="str">
        <f>Uebersetzung!D125</f>
        <v>Mit dem + in der Spaltenüberschrift weitere Gebäude einfügen</v>
      </c>
      <c r="T5" s="161"/>
      <c r="U5" s="161"/>
      <c r="V5" s="161"/>
      <c r="W5" s="161"/>
      <c r="X5" s="162"/>
      <c r="Y5" s="144"/>
      <c r="Z5" s="163"/>
      <c r="AA5" s="164"/>
      <c r="AB5" s="165"/>
      <c r="AC5" s="165"/>
      <c r="AD5" s="165"/>
      <c r="AE5" s="165"/>
      <c r="AF5" s="165"/>
      <c r="AG5" s="165"/>
      <c r="AH5" s="165"/>
      <c r="AI5" s="165"/>
      <c r="AJ5" s="165"/>
    </row>
    <row r="6" spans="3:36" s="160" customFormat="1" ht="13.15" hidden="1" customHeight="1" x14ac:dyDescent="0.2">
      <c r="D6" s="167"/>
      <c r="E6" s="212">
        <v>1</v>
      </c>
      <c r="F6" s="212">
        <v>2</v>
      </c>
      <c r="G6" s="212">
        <v>3</v>
      </c>
      <c r="H6" s="212">
        <v>4</v>
      </c>
      <c r="I6" s="212">
        <v>5</v>
      </c>
      <c r="J6" s="212">
        <v>6</v>
      </c>
      <c r="K6" s="212">
        <v>7</v>
      </c>
      <c r="L6" s="212">
        <v>8</v>
      </c>
      <c r="M6" s="212">
        <v>9</v>
      </c>
      <c r="N6" s="212">
        <v>10</v>
      </c>
      <c r="O6" s="212">
        <v>11</v>
      </c>
      <c r="P6" s="212">
        <v>12</v>
      </c>
      <c r="Q6" s="212">
        <v>13</v>
      </c>
      <c r="R6" s="212">
        <v>14</v>
      </c>
      <c r="S6" s="212">
        <v>15</v>
      </c>
      <c r="T6" s="212">
        <v>16</v>
      </c>
      <c r="U6" s="212">
        <v>17</v>
      </c>
      <c r="V6" s="212">
        <v>18</v>
      </c>
      <c r="W6" s="212">
        <v>19</v>
      </c>
      <c r="X6" s="212">
        <v>20</v>
      </c>
      <c r="Y6" s="144"/>
      <c r="Z6" s="168"/>
      <c r="AA6" s="97"/>
      <c r="AB6" s="144"/>
      <c r="AC6" s="144"/>
      <c r="AD6" s="144"/>
      <c r="AE6" s="144"/>
      <c r="AF6" s="144"/>
      <c r="AG6" s="144"/>
      <c r="AH6" s="144"/>
      <c r="AI6" s="144"/>
      <c r="AJ6" s="144"/>
    </row>
    <row r="7" spans="3:36" s="1" customFormat="1" ht="15" hidden="1" customHeight="1" x14ac:dyDescent="0.2">
      <c r="E7" s="3"/>
      <c r="F7" s="3"/>
      <c r="G7" s="3"/>
      <c r="H7" s="3"/>
      <c r="I7" s="3"/>
      <c r="J7" s="3"/>
      <c r="K7" s="3"/>
      <c r="L7" s="3"/>
      <c r="M7" s="3"/>
      <c r="N7" s="8" t="str">
        <f>Uebersetzung!D125</f>
        <v>Mit dem + in der Spaltenüberschrift weitere Gebäude einfügen</v>
      </c>
      <c r="O7" s="3"/>
      <c r="P7" s="3"/>
      <c r="Q7" s="3"/>
      <c r="R7" s="3"/>
      <c r="S7" s="169"/>
      <c r="T7" s="8"/>
      <c r="U7" s="8"/>
      <c r="V7" s="8"/>
      <c r="W7" s="8"/>
      <c r="X7" s="169"/>
      <c r="Y7" s="3"/>
      <c r="Z7" s="9"/>
      <c r="AA7" s="7"/>
    </row>
    <row r="8" spans="3:36" s="2" customFormat="1" ht="17.45" customHeight="1" x14ac:dyDescent="0.25">
      <c r="C8" s="5"/>
      <c r="E8" s="170" t="str">
        <f>Uebersetzung!$D$13&amp;" "&amp;E6</f>
        <v>Gebäude 1</v>
      </c>
      <c r="F8" s="171" t="str">
        <f>Uebersetzung!$D$13&amp;" "&amp;F6</f>
        <v>Gebäude 2</v>
      </c>
      <c r="G8" s="171" t="str">
        <f>Uebersetzung!$D$13&amp;" "&amp;G6</f>
        <v>Gebäude 3</v>
      </c>
      <c r="H8" s="171" t="str">
        <f>Uebersetzung!$D$13&amp;" "&amp;H6</f>
        <v>Gebäude 4</v>
      </c>
      <c r="I8" s="171" t="str">
        <f>Uebersetzung!$D$13&amp;" "&amp;I6</f>
        <v>Gebäude 5</v>
      </c>
      <c r="J8" s="171" t="str">
        <f>Uebersetzung!$D$13&amp;" "&amp;J6</f>
        <v>Gebäude 6</v>
      </c>
      <c r="K8" s="171" t="str">
        <f>Uebersetzung!$D$13&amp;" "&amp;K6</f>
        <v>Gebäude 7</v>
      </c>
      <c r="L8" s="171" t="str">
        <f>Uebersetzung!$D$13&amp;" "&amp;L6</f>
        <v>Gebäude 8</v>
      </c>
      <c r="M8" s="171" t="str">
        <f>Uebersetzung!$D$13&amp;" "&amp;M6</f>
        <v>Gebäude 9</v>
      </c>
      <c r="N8" s="171" t="str">
        <f>Uebersetzung!$D$13&amp;" "&amp;N6</f>
        <v>Gebäude 10</v>
      </c>
      <c r="O8" s="171" t="str">
        <f ca="1">IF(CELL("Breite",K1)=0,Uebersetzung!$D$71&amp;" "&amp;Uebersetzung!$D$13,Uebersetzung!$D$13&amp;" "&amp;O6)</f>
        <v>Gebäude 11</v>
      </c>
      <c r="P8" s="171" t="str">
        <f ca="1">IF(CELL("Breite",L1)=0,Uebersetzung!$D$71&amp;" "&amp;Uebersetzung!$D$13,Uebersetzung!$D$13&amp;" "&amp;P6)</f>
        <v>Gebäude 12</v>
      </c>
      <c r="Q8" s="171" t="str">
        <f ca="1">IF(CELL("Breite",M1)=0,Uebersetzung!$D$71&amp;" "&amp;Uebersetzung!$D$13,Uebersetzung!$D$13&amp;" "&amp;Q6)</f>
        <v>Gebäude 13</v>
      </c>
      <c r="R8" s="171" t="str">
        <f ca="1">IF(CELL("Breite",N1)=0,Uebersetzung!$D$71&amp;" "&amp;Uebersetzung!$D$13,Uebersetzung!$D$13&amp;" "&amp;R6)</f>
        <v>Gebäude 14</v>
      </c>
      <c r="S8" s="171" t="str">
        <f ca="1">IF(CELL("Breite",O1)=0,Uebersetzung!$D$71&amp;" "&amp;Uebersetzung!$D$13,Uebersetzung!$D$13&amp;" "&amp;S6)</f>
        <v>Weitere Gebäude</v>
      </c>
      <c r="T8" s="214" t="str">
        <f>Uebersetzung!$D$13&amp;" "&amp;T6</f>
        <v>Gebäude 16</v>
      </c>
      <c r="U8" s="214" t="str">
        <f>Uebersetzung!$D$13&amp;" "&amp;U6</f>
        <v>Gebäude 17</v>
      </c>
      <c r="V8" s="214" t="str">
        <f>Uebersetzung!$D$13&amp;" "&amp;V6</f>
        <v>Gebäude 18</v>
      </c>
      <c r="W8" s="214" t="str">
        <f>Uebersetzung!$D$13&amp;" "&amp;W6</f>
        <v>Gebäude 19</v>
      </c>
      <c r="X8" s="215" t="str">
        <f ca="1">IF(CELL("Breite",W1)=0,Uebersetzung!D71&amp;" "&amp;Uebersetzung!D42,Uebersetzung!$D$13&amp;" "&amp;X6)</f>
        <v>Weitere Treibhausgasemissionen Erstellung aller Neubauten im Areal</v>
      </c>
      <c r="Y8" s="10"/>
      <c r="Z8" s="157"/>
      <c r="AA8" s="5"/>
    </row>
    <row r="9" spans="3:36" s="175" customFormat="1" x14ac:dyDescent="0.2">
      <c r="C9" s="67" t="str">
        <f>Uebersetzung!D14</f>
        <v>Angaben zu den Gebäuden</v>
      </c>
      <c r="D9" s="68"/>
      <c r="E9" s="172"/>
      <c r="F9" s="172"/>
      <c r="G9" s="172"/>
      <c r="H9" s="172"/>
      <c r="I9" s="172"/>
      <c r="J9" s="172"/>
      <c r="K9" s="172"/>
      <c r="L9" s="172"/>
      <c r="M9" s="172"/>
      <c r="N9" s="172"/>
      <c r="O9" s="172"/>
      <c r="P9" s="172"/>
      <c r="Q9" s="172"/>
      <c r="R9" s="172"/>
      <c r="S9" s="172"/>
      <c r="T9" s="172"/>
      <c r="U9" s="172"/>
      <c r="V9" s="172"/>
      <c r="W9" s="172"/>
      <c r="X9" s="172"/>
      <c r="Y9" s="173"/>
      <c r="Z9" s="174"/>
      <c r="AA9" s="7"/>
    </row>
    <row r="10" spans="3:36" s="4" customFormat="1" ht="18.75" customHeight="1" x14ac:dyDescent="0.25">
      <c r="C10" s="16" t="str">
        <f>Uebersetzung!D15</f>
        <v>Gebäudebezeichnung</v>
      </c>
      <c r="D10" s="71"/>
      <c r="E10" s="54"/>
      <c r="F10" s="54"/>
      <c r="G10" s="54"/>
      <c r="H10" s="54"/>
      <c r="I10" s="54"/>
      <c r="J10" s="54"/>
      <c r="K10" s="54"/>
      <c r="L10" s="54"/>
      <c r="M10" s="54"/>
      <c r="N10" s="54"/>
      <c r="O10" s="54"/>
      <c r="P10" s="54"/>
      <c r="Q10" s="54"/>
      <c r="R10" s="54"/>
      <c r="S10" s="54"/>
      <c r="T10" s="54"/>
      <c r="U10" s="54"/>
      <c r="V10" s="54"/>
      <c r="W10" s="54"/>
      <c r="X10" s="213"/>
      <c r="Y10" s="8"/>
      <c r="Z10" s="9"/>
      <c r="AA10" s="7"/>
    </row>
    <row r="11" spans="3:36" s="4" customFormat="1" ht="18.75" customHeight="1" x14ac:dyDescent="0.25">
      <c r="C11" s="61" t="str">
        <f>Uebersetzung!D112</f>
        <v>Geschossfläche</v>
      </c>
      <c r="D11" s="77" t="s">
        <v>4</v>
      </c>
      <c r="E11" s="55"/>
      <c r="F11" s="55"/>
      <c r="G11" s="55"/>
      <c r="H11" s="55"/>
      <c r="I11" s="55"/>
      <c r="J11" s="47"/>
      <c r="K11" s="47"/>
      <c r="L11" s="47"/>
      <c r="M11" s="47"/>
      <c r="N11" s="47"/>
      <c r="O11" s="55"/>
      <c r="P11" s="55"/>
      <c r="Q11" s="55"/>
      <c r="R11" s="55"/>
      <c r="S11" s="55"/>
      <c r="T11" s="55"/>
      <c r="U11" s="55"/>
      <c r="V11" s="55"/>
      <c r="W11" s="55"/>
      <c r="X11" s="56"/>
      <c r="Y11" s="8"/>
      <c r="Z11" s="9"/>
      <c r="AA11" s="7"/>
    </row>
    <row r="12" spans="3:36" s="4" customFormat="1" ht="18.75" customHeight="1" x14ac:dyDescent="0.25">
      <c r="C12" s="61" t="str">
        <f>Uebersetzung!$D$17&amp;" "&amp;Uebersetzung!D164</f>
        <v>Energiebezugsfläche EBF Standardwert</v>
      </c>
      <c r="D12" s="77" t="s">
        <v>4</v>
      </c>
      <c r="E12" s="390">
        <f t="shared" ref="E12:F12" si="0">IF(E11=0,0,E11*80%)</f>
        <v>0</v>
      </c>
      <c r="F12" s="390">
        <f t="shared" si="0"/>
        <v>0</v>
      </c>
      <c r="G12" s="390">
        <f>IF(G11=0,0,G11*80%)</f>
        <v>0</v>
      </c>
      <c r="H12" s="390">
        <f t="shared" ref="H12:X12" si="1">IF(H11=0,0,H11*80%)</f>
        <v>0</v>
      </c>
      <c r="I12" s="390">
        <f t="shared" si="1"/>
        <v>0</v>
      </c>
      <c r="J12" s="390">
        <f t="shared" si="1"/>
        <v>0</v>
      </c>
      <c r="K12" s="390">
        <f t="shared" si="1"/>
        <v>0</v>
      </c>
      <c r="L12" s="390">
        <f t="shared" si="1"/>
        <v>0</v>
      </c>
      <c r="M12" s="390">
        <f t="shared" si="1"/>
        <v>0</v>
      </c>
      <c r="N12" s="390">
        <f t="shared" si="1"/>
        <v>0</v>
      </c>
      <c r="O12" s="390">
        <f t="shared" si="1"/>
        <v>0</v>
      </c>
      <c r="P12" s="390">
        <f t="shared" si="1"/>
        <v>0</v>
      </c>
      <c r="Q12" s="390">
        <f t="shared" si="1"/>
        <v>0</v>
      </c>
      <c r="R12" s="390">
        <f t="shared" si="1"/>
        <v>0</v>
      </c>
      <c r="S12" s="390">
        <f t="shared" si="1"/>
        <v>0</v>
      </c>
      <c r="T12" s="390">
        <f t="shared" si="1"/>
        <v>0</v>
      </c>
      <c r="U12" s="390">
        <f t="shared" si="1"/>
        <v>0</v>
      </c>
      <c r="V12" s="390">
        <f t="shared" si="1"/>
        <v>0</v>
      </c>
      <c r="W12" s="390">
        <f t="shared" si="1"/>
        <v>0</v>
      </c>
      <c r="X12" s="391">
        <f t="shared" si="1"/>
        <v>0</v>
      </c>
      <c r="Y12" s="173"/>
      <c r="Z12" s="174"/>
      <c r="AA12" s="7"/>
    </row>
    <row r="13" spans="3:36" s="4" customFormat="1" ht="18.75" customHeight="1" x14ac:dyDescent="0.25">
      <c r="C13" s="61" t="str">
        <f>Uebersetzung!$D$17&amp;" "&amp;Uebersetzung!D165</f>
        <v>Energiebezugsfläche EBF Standardwert überschreiben</v>
      </c>
      <c r="D13" s="77" t="s">
        <v>4</v>
      </c>
      <c r="E13" s="47"/>
      <c r="F13" s="47"/>
      <c r="G13" s="47"/>
      <c r="H13" s="47"/>
      <c r="I13" s="47"/>
      <c r="J13" s="47"/>
      <c r="K13" s="47"/>
      <c r="L13" s="47"/>
      <c r="M13" s="47"/>
      <c r="N13" s="47"/>
      <c r="O13" s="47"/>
      <c r="P13" s="47"/>
      <c r="Q13" s="47"/>
      <c r="R13" s="47"/>
      <c r="S13" s="47"/>
      <c r="T13" s="47"/>
      <c r="U13" s="47"/>
      <c r="V13" s="47"/>
      <c r="W13" s="47"/>
      <c r="X13" s="48"/>
      <c r="Y13" s="8"/>
      <c r="Z13" s="9"/>
      <c r="AA13" s="7"/>
    </row>
    <row r="14" spans="3:36" s="4" customFormat="1" ht="18.75" hidden="1" customHeight="1" x14ac:dyDescent="0.25">
      <c r="C14" s="61" t="str">
        <f>Uebersetzung!D185</f>
        <v>Energiebezugsfläche EBF für Berechnung</v>
      </c>
      <c r="D14" s="77" t="s">
        <v>4</v>
      </c>
      <c r="E14" s="149">
        <f>IF(ISBLANK(E13),E12,E13)</f>
        <v>0</v>
      </c>
      <c r="F14" s="149">
        <f t="shared" ref="F14:X14" si="2">IF(ISBLANK(F13),F12,F13)</f>
        <v>0</v>
      </c>
      <c r="G14" s="85">
        <f>IF(ISBLANK(G13),G12,G13)</f>
        <v>0</v>
      </c>
      <c r="H14" s="149">
        <f t="shared" si="2"/>
        <v>0</v>
      </c>
      <c r="I14" s="149">
        <f t="shared" si="2"/>
        <v>0</v>
      </c>
      <c r="J14" s="149">
        <f t="shared" si="2"/>
        <v>0</v>
      </c>
      <c r="K14" s="149">
        <f t="shared" si="2"/>
        <v>0</v>
      </c>
      <c r="L14" s="149">
        <f t="shared" si="2"/>
        <v>0</v>
      </c>
      <c r="M14" s="149">
        <f t="shared" si="2"/>
        <v>0</v>
      </c>
      <c r="N14" s="149">
        <f t="shared" si="2"/>
        <v>0</v>
      </c>
      <c r="O14" s="149">
        <f t="shared" si="2"/>
        <v>0</v>
      </c>
      <c r="P14" s="149">
        <f t="shared" si="2"/>
        <v>0</v>
      </c>
      <c r="Q14" s="149">
        <f t="shared" si="2"/>
        <v>0</v>
      </c>
      <c r="R14" s="149">
        <f t="shared" si="2"/>
        <v>0</v>
      </c>
      <c r="S14" s="149">
        <f t="shared" si="2"/>
        <v>0</v>
      </c>
      <c r="T14" s="149">
        <f t="shared" si="2"/>
        <v>0</v>
      </c>
      <c r="U14" s="149">
        <f t="shared" si="2"/>
        <v>0</v>
      </c>
      <c r="V14" s="149">
        <f t="shared" si="2"/>
        <v>0</v>
      </c>
      <c r="W14" s="149">
        <f t="shared" si="2"/>
        <v>0</v>
      </c>
      <c r="X14" s="197">
        <f t="shared" si="2"/>
        <v>0</v>
      </c>
      <c r="Y14" s="8"/>
      <c r="Z14" s="193">
        <f>SUM(E14:X14)</f>
        <v>0</v>
      </c>
      <c r="AA14" s="177" t="str">
        <f>Uebersetzung!D$38</f>
        <v>Summe</v>
      </c>
    </row>
    <row r="15" spans="3:36" s="4" customFormat="1" ht="18.75" customHeight="1" x14ac:dyDescent="0.25">
      <c r="C15" s="33" t="str">
        <f>Uebersetzung!$D$18</f>
        <v>Art des Bauvorhabens</v>
      </c>
      <c r="D15" s="73"/>
      <c r="E15" s="408"/>
      <c r="F15" s="409"/>
      <c r="G15" s="409"/>
      <c r="H15" s="409"/>
      <c r="I15" s="409"/>
      <c r="J15" s="62"/>
      <c r="K15" s="62"/>
      <c r="L15" s="62"/>
      <c r="M15" s="62"/>
      <c r="N15" s="62"/>
      <c r="O15" s="409"/>
      <c r="P15" s="409"/>
      <c r="Q15" s="409"/>
      <c r="R15" s="409"/>
      <c r="S15" s="409"/>
      <c r="T15" s="409"/>
      <c r="U15" s="409"/>
      <c r="V15" s="409"/>
      <c r="W15" s="409"/>
      <c r="X15" s="410"/>
      <c r="Y15" s="8"/>
      <c r="Z15" s="308">
        <f>SUMIF(BauvorhabenAreal,AA15,EBFAreal)</f>
        <v>0</v>
      </c>
      <c r="AA15" s="309" t="str">
        <f>Neubau_Erneuerung</f>
        <v>Neubau / Erneuerung nach Minergie</v>
      </c>
    </row>
    <row r="16" spans="3:36" s="4" customFormat="1" ht="37.15" customHeight="1" x14ac:dyDescent="0.2">
      <c r="C16" s="181" t="str">
        <f>Uebersetzung!D167&amp;" "&amp;Uebersetzung!D161</f>
        <v>Zusätzliche Angaben bei Bestandesbauten mit Ausnahmeregelung</v>
      </c>
      <c r="D16" s="8"/>
      <c r="E16" s="153"/>
      <c r="F16" s="153"/>
      <c r="G16" s="153"/>
      <c r="H16" s="153"/>
      <c r="I16" s="153"/>
      <c r="J16" s="153"/>
      <c r="K16" s="153"/>
      <c r="L16" s="153"/>
      <c r="M16" s="153"/>
      <c r="N16" s="153"/>
      <c r="O16" s="153"/>
      <c r="P16" s="153"/>
      <c r="Q16" s="153"/>
      <c r="R16" s="153"/>
      <c r="S16" s="153"/>
      <c r="T16" s="153"/>
      <c r="U16" s="153"/>
      <c r="V16" s="153"/>
      <c r="W16" s="153"/>
      <c r="X16" s="153"/>
      <c r="Y16" s="7"/>
      <c r="Z16" s="308">
        <f>SUMIF(BauvorhabenAreal,AA16,EBFAreal)</f>
        <v>0</v>
      </c>
      <c r="AA16" s="179" t="str">
        <f>Systemerneuerung</f>
        <v>Systemerneuerung nach Minergie</v>
      </c>
    </row>
    <row r="17" spans="2:27" s="4" customFormat="1" ht="18.75" customHeight="1" x14ac:dyDescent="0.25">
      <c r="C17" s="16" t="str">
        <f>Uebersetzung!D176</f>
        <v>Gebäudekategorie (Hauptnutzung)</v>
      </c>
      <c r="D17" s="71"/>
      <c r="E17" s="365"/>
      <c r="F17" s="365"/>
      <c r="G17" s="365"/>
      <c r="H17" s="365"/>
      <c r="I17" s="365"/>
      <c r="J17" s="365"/>
      <c r="K17" s="365"/>
      <c r="L17" s="365"/>
      <c r="M17" s="365"/>
      <c r="N17" s="365"/>
      <c r="O17" s="365"/>
      <c r="P17" s="365"/>
      <c r="Q17" s="365"/>
      <c r="R17" s="365"/>
      <c r="S17" s="365"/>
      <c r="T17" s="365"/>
      <c r="U17" s="365"/>
      <c r="V17" s="365"/>
      <c r="W17" s="365"/>
      <c r="X17" s="366"/>
      <c r="Y17" s="7"/>
      <c r="Z17" s="330"/>
      <c r="AA17" s="331"/>
    </row>
    <row r="18" spans="2:27" s="4" customFormat="1" ht="18.75" customHeight="1" x14ac:dyDescent="0.25">
      <c r="C18" s="332" t="str">
        <f>Uebersetzung!D20</f>
        <v>Begründung für Ausnahmeregelung</v>
      </c>
      <c r="D18" s="183"/>
      <c r="E18" s="333"/>
      <c r="F18" s="333"/>
      <c r="G18" s="333"/>
      <c r="H18" s="333"/>
      <c r="I18" s="333"/>
      <c r="J18" s="333"/>
      <c r="K18" s="333"/>
      <c r="L18" s="333"/>
      <c r="M18" s="333"/>
      <c r="N18" s="333"/>
      <c r="O18" s="333"/>
      <c r="P18" s="333"/>
      <c r="Q18" s="333"/>
      <c r="R18" s="333"/>
      <c r="S18" s="333"/>
      <c r="T18" s="333"/>
      <c r="U18" s="333"/>
      <c r="V18" s="333"/>
      <c r="W18" s="333"/>
      <c r="X18" s="334"/>
      <c r="Y18" s="7"/>
      <c r="Z18" s="209">
        <f>SUMIF(BauvorhabenAreal,AA18,EBFAreal)</f>
        <v>0</v>
      </c>
      <c r="AA18" s="182" t="str">
        <f>BestAusnahme</f>
        <v>Bestandesbau mit Ausnahmeregelung</v>
      </c>
    </row>
    <row r="19" spans="2:27" s="4" customFormat="1" ht="18.75" customHeight="1" x14ac:dyDescent="0.25">
      <c r="C19" s="33" t="str">
        <f>Uebersetzung!D147</f>
        <v>Zertifikatsnummer</v>
      </c>
      <c r="D19" s="73"/>
      <c r="E19" s="62"/>
      <c r="F19" s="62"/>
      <c r="G19" s="62"/>
      <c r="H19" s="62"/>
      <c r="I19" s="62"/>
      <c r="J19" s="62"/>
      <c r="K19" s="62"/>
      <c r="L19" s="62"/>
      <c r="M19" s="62"/>
      <c r="N19" s="62"/>
      <c r="O19" s="62"/>
      <c r="P19" s="62"/>
      <c r="Q19" s="62"/>
      <c r="R19" s="62"/>
      <c r="S19" s="62"/>
      <c r="T19" s="62"/>
      <c r="U19" s="62"/>
      <c r="V19" s="62"/>
      <c r="W19" s="62"/>
      <c r="X19" s="63"/>
      <c r="Y19" s="7"/>
      <c r="Z19" s="9"/>
      <c r="AA19" s="7"/>
    </row>
    <row r="20" spans="2:27" s="4" customFormat="1" ht="37.15" customHeight="1" x14ac:dyDescent="0.2">
      <c r="C20" s="433" t="str">
        <f>Uebersetzung!D167&amp;" "&amp;Uebersetzung!D156</f>
        <v>Zusätzliche Angaben bei Neubauten / Erneuerungen nach Minergie</v>
      </c>
      <c r="D20" s="433"/>
      <c r="E20" s="153" t="str">
        <f>IF(E15=Neubau_Erneuerung,IF(E78&lt;&gt;E14,Uebersetzung!$D$138,""),"")</f>
        <v/>
      </c>
      <c r="F20" s="153" t="str">
        <f>IF(F15=Neubau_Erneuerung,IF(F78&lt;&gt;F14,Uebersetzung!$D$138,""),"")</f>
        <v/>
      </c>
      <c r="G20" s="153" t="str">
        <f>IF(G15=Neubau_Erneuerung,IF(G78&lt;&gt;G14,Uebersetzung!$D$138,""),"")</f>
        <v/>
      </c>
      <c r="H20" s="153" t="str">
        <f>IF(H15=Neubau_Erneuerung,IF(H78&lt;&gt;H14,Uebersetzung!$D$138,""),"")</f>
        <v/>
      </c>
      <c r="I20" s="153" t="str">
        <f>IF(I15=Neubau_Erneuerung,IF(I78&lt;&gt;I14,Uebersetzung!$D$138,""),"")</f>
        <v/>
      </c>
      <c r="J20" s="153" t="str">
        <f>IF(J15=Neubau_Erneuerung,IF(J78&lt;&gt;J14,Uebersetzung!$D$138,""),"")</f>
        <v/>
      </c>
      <c r="K20" s="153" t="str">
        <f>IF(K15=Neubau_Erneuerung,IF(K78&lt;&gt;K14,Uebersetzung!$D$138,""),"")</f>
        <v/>
      </c>
      <c r="L20" s="153" t="str">
        <f>IF(L15=Neubau_Erneuerung,IF(L78&lt;&gt;L14,Uebersetzung!$D$138,""),"")</f>
        <v/>
      </c>
      <c r="M20" s="153" t="str">
        <f>IF(M15=Neubau_Erneuerung,IF(M78&lt;&gt;M14,Uebersetzung!$D$138,""),"")</f>
        <v/>
      </c>
      <c r="N20" s="153" t="str">
        <f>IF(N15=Neubau_Erneuerung,IF(N78&lt;&gt;N14,Uebersetzung!$D$138,""),"")</f>
        <v/>
      </c>
      <c r="O20" s="153" t="str">
        <f>IF(O15=Neubau_Erneuerung,IF(O78&lt;&gt;O14,Uebersetzung!$D$138,""),"")</f>
        <v/>
      </c>
      <c r="P20" s="153" t="str">
        <f>IF(P15=Neubau_Erneuerung,IF(P78&lt;&gt;P14,Uebersetzung!$D$138,""),"")</f>
        <v/>
      </c>
      <c r="Q20" s="153" t="str">
        <f>IF(Q15=Neubau_Erneuerung,IF(Q78&lt;&gt;Q14,Uebersetzung!$D$138,""),"")</f>
        <v/>
      </c>
      <c r="R20" s="153" t="str">
        <f>IF(R15=Neubau_Erneuerung,IF(R78&lt;&gt;R14,Uebersetzung!$D$138,""),"")</f>
        <v/>
      </c>
      <c r="S20" s="153" t="str">
        <f>IF(S15=Neubau_Erneuerung,IF(S78&lt;&gt;S14,Uebersetzung!$D$138,""),"")</f>
        <v/>
      </c>
      <c r="T20" s="153" t="str">
        <f>IF(T15=Neubau_Erneuerung,IF(T78&lt;&gt;T14,Uebersetzung!$D$138,""),"")</f>
        <v/>
      </c>
      <c r="U20" s="153" t="str">
        <f>IF(U15=Neubau_Erneuerung,IF(U78&lt;&gt;U14,Uebersetzung!$D$138,""),"")</f>
        <v/>
      </c>
      <c r="V20" s="153" t="str">
        <f>IF(V15=Neubau_Erneuerung,IF(V78&lt;&gt;V14,Uebersetzung!$D$138,""),"")</f>
        <v/>
      </c>
      <c r="W20" s="153" t="str">
        <f>IF(W15=Neubau_Erneuerung,IF(W78&lt;&gt;W14,Uebersetzung!$D$138,""),"")</f>
        <v/>
      </c>
      <c r="X20" s="153" t="str">
        <f>IF(X15=Neubau_Erneuerung,IF(X78&lt;&gt;X14,Uebersetzung!$D$138,""),"")</f>
        <v/>
      </c>
      <c r="Y20" s="7"/>
      <c r="Z20" s="9"/>
      <c r="AA20" s="7"/>
    </row>
    <row r="21" spans="2:27" s="4" customFormat="1" ht="18.75" customHeight="1" x14ac:dyDescent="0.25">
      <c r="C21" s="16" t="str">
        <f>Uebersetzung!D130</f>
        <v>Gebäude-ID gemäss Minergie-Antrag (in prov. Zertifizierung: falls verfügbar)</v>
      </c>
      <c r="D21" s="71"/>
      <c r="E21" s="45"/>
      <c r="F21" s="45"/>
      <c r="G21" s="45"/>
      <c r="H21" s="45"/>
      <c r="I21" s="45"/>
      <c r="J21" s="45"/>
      <c r="K21" s="45"/>
      <c r="L21" s="45"/>
      <c r="M21" s="45"/>
      <c r="N21" s="45"/>
      <c r="O21" s="45"/>
      <c r="P21" s="45"/>
      <c r="Q21" s="45"/>
      <c r="R21" s="45"/>
      <c r="S21" s="45"/>
      <c r="T21" s="45"/>
      <c r="U21" s="45"/>
      <c r="V21" s="45"/>
      <c r="W21" s="45"/>
      <c r="X21" s="46"/>
      <c r="Y21" s="7"/>
      <c r="Z21" s="9"/>
      <c r="AA21" s="7"/>
    </row>
    <row r="22" spans="2:27" s="4" customFormat="1" ht="18.75" customHeight="1" x14ac:dyDescent="0.25">
      <c r="B22" s="370"/>
      <c r="C22" s="372" t="str">
        <f>Uebersetzung!$D$109</f>
        <v>Neubau</v>
      </c>
      <c r="D22" s="90"/>
      <c r="E22" s="373"/>
      <c r="F22" s="373"/>
      <c r="G22" s="373"/>
      <c r="H22" s="373"/>
      <c r="I22" s="373"/>
      <c r="J22" s="373"/>
      <c r="K22" s="373"/>
      <c r="L22" s="373"/>
      <c r="M22" s="373"/>
      <c r="N22" s="373"/>
      <c r="O22" s="373"/>
      <c r="P22" s="373"/>
      <c r="Q22" s="373"/>
      <c r="R22" s="373"/>
      <c r="S22" s="373"/>
      <c r="T22" s="373"/>
      <c r="U22" s="373"/>
      <c r="V22" s="373"/>
      <c r="W22" s="373"/>
      <c r="X22" s="374"/>
      <c r="Y22" s="173"/>
      <c r="Z22" s="174"/>
      <c r="AA22" s="7"/>
    </row>
    <row r="23" spans="2:27" s="4" customFormat="1" ht="18.75" customHeight="1" x14ac:dyDescent="0.25">
      <c r="B23" s="371"/>
      <c r="C23" s="33" t="str">
        <f>Uebersetzung!D19</f>
        <v>Minergie-Standard</v>
      </c>
      <c r="D23" s="73"/>
      <c r="E23" s="62"/>
      <c r="F23" s="62"/>
      <c r="G23" s="62"/>
      <c r="H23" s="62"/>
      <c r="I23" s="62"/>
      <c r="J23" s="62"/>
      <c r="K23" s="62"/>
      <c r="L23" s="62"/>
      <c r="M23" s="62"/>
      <c r="N23" s="62"/>
      <c r="O23" s="62"/>
      <c r="P23" s="62"/>
      <c r="Q23" s="62"/>
      <c r="R23" s="62"/>
      <c r="S23" s="62"/>
      <c r="T23" s="62"/>
      <c r="U23" s="62"/>
      <c r="V23" s="62"/>
      <c r="W23" s="62"/>
      <c r="X23" s="63"/>
      <c r="Y23" s="7"/>
      <c r="Z23" s="176"/>
      <c r="AA23" s="177"/>
    </row>
    <row r="24" spans="2:27" s="4" customFormat="1" ht="18.75" customHeight="1" x14ac:dyDescent="0.25">
      <c r="B24" s="435" t="str">
        <f>Uebersetzung!$D$56&amp;" "&amp;1</f>
        <v>Zone 1</v>
      </c>
      <c r="C24" s="16" t="str">
        <f>Uebersetzung!$D$16</f>
        <v>Gebäudekategorie</v>
      </c>
      <c r="D24" s="71"/>
      <c r="E24" s="45"/>
      <c r="F24" s="45"/>
      <c r="G24" s="45"/>
      <c r="H24" s="45"/>
      <c r="I24" s="45"/>
      <c r="J24" s="45"/>
      <c r="K24" s="45"/>
      <c r="L24" s="45"/>
      <c r="M24" s="45"/>
      <c r="N24" s="45"/>
      <c r="O24" s="45"/>
      <c r="P24" s="45"/>
      <c r="Q24" s="45"/>
      <c r="R24" s="45"/>
      <c r="S24" s="45"/>
      <c r="T24" s="45"/>
      <c r="U24" s="45"/>
      <c r="V24" s="45"/>
      <c r="W24" s="45"/>
      <c r="X24" s="46"/>
      <c r="Y24" s="7"/>
      <c r="Z24" s="9"/>
      <c r="AA24" s="7"/>
    </row>
    <row r="25" spans="2:27" s="4" customFormat="1" ht="18.75" customHeight="1" x14ac:dyDescent="0.25">
      <c r="B25" s="436"/>
      <c r="C25" s="184" t="str">
        <f>Uebersetzung!$D$186&amp;" "&amp;Uebersetzung!$D$17</f>
        <v>Anteil Energiebezugsfläche EBF</v>
      </c>
      <c r="D25" s="90" t="s">
        <v>566</v>
      </c>
      <c r="E25" s="386"/>
      <c r="F25" s="386"/>
      <c r="G25" s="386"/>
      <c r="H25" s="386"/>
      <c r="I25" s="386"/>
      <c r="J25" s="386"/>
      <c r="K25" s="386"/>
      <c r="L25" s="386"/>
      <c r="M25" s="386"/>
      <c r="N25" s="386"/>
      <c r="O25" s="386"/>
      <c r="P25" s="386"/>
      <c r="Q25" s="386"/>
      <c r="R25" s="386"/>
      <c r="S25" s="386"/>
      <c r="T25" s="386"/>
      <c r="U25" s="386"/>
      <c r="V25" s="386"/>
      <c r="W25" s="386"/>
      <c r="X25" s="387"/>
      <c r="Y25" s="173"/>
    </row>
    <row r="26" spans="2:27" s="4" customFormat="1" ht="14.25" customHeight="1" x14ac:dyDescent="0.25">
      <c r="B26" s="437"/>
      <c r="C26" s="33" t="str">
        <f>Uebersetzung!$D$17</f>
        <v>Energiebezugsfläche EBF</v>
      </c>
      <c r="D26" s="73" t="s">
        <v>4</v>
      </c>
      <c r="E26" s="392">
        <f>E25*E$14</f>
        <v>0</v>
      </c>
      <c r="F26" s="392">
        <f t="shared" ref="F26:X26" si="3">F25*F$14</f>
        <v>0</v>
      </c>
      <c r="G26" s="392">
        <f t="shared" si="3"/>
        <v>0</v>
      </c>
      <c r="H26" s="392">
        <f t="shared" si="3"/>
        <v>0</v>
      </c>
      <c r="I26" s="392">
        <f t="shared" si="3"/>
        <v>0</v>
      </c>
      <c r="J26" s="392">
        <f t="shared" si="3"/>
        <v>0</v>
      </c>
      <c r="K26" s="392">
        <f t="shared" si="3"/>
        <v>0</v>
      </c>
      <c r="L26" s="392">
        <f t="shared" si="3"/>
        <v>0</v>
      </c>
      <c r="M26" s="392">
        <f t="shared" si="3"/>
        <v>0</v>
      </c>
      <c r="N26" s="392">
        <f t="shared" si="3"/>
        <v>0</v>
      </c>
      <c r="O26" s="392">
        <f t="shared" si="3"/>
        <v>0</v>
      </c>
      <c r="P26" s="392">
        <f t="shared" si="3"/>
        <v>0</v>
      </c>
      <c r="Q26" s="392">
        <f t="shared" si="3"/>
        <v>0</v>
      </c>
      <c r="R26" s="392">
        <f t="shared" si="3"/>
        <v>0</v>
      </c>
      <c r="S26" s="392">
        <f t="shared" si="3"/>
        <v>0</v>
      </c>
      <c r="T26" s="392">
        <f t="shared" si="3"/>
        <v>0</v>
      </c>
      <c r="U26" s="392">
        <f t="shared" si="3"/>
        <v>0</v>
      </c>
      <c r="V26" s="392">
        <f t="shared" si="3"/>
        <v>0</v>
      </c>
      <c r="W26" s="392">
        <f t="shared" si="3"/>
        <v>0</v>
      </c>
      <c r="X26" s="393">
        <f t="shared" si="3"/>
        <v>0</v>
      </c>
      <c r="Y26" s="173"/>
    </row>
    <row r="27" spans="2:27" s="4" customFormat="1" ht="18.75" customHeight="1" x14ac:dyDescent="0.25">
      <c r="B27" s="435" t="str">
        <f>Uebersetzung!$D$56&amp;" "&amp;2</f>
        <v>Zone 2</v>
      </c>
      <c r="C27" s="185" t="str">
        <f>Uebersetzung!$D$16</f>
        <v>Gebäudekategorie</v>
      </c>
      <c r="D27" s="71"/>
      <c r="E27" s="45"/>
      <c r="F27" s="45"/>
      <c r="G27" s="45"/>
      <c r="H27" s="45"/>
      <c r="I27" s="45"/>
      <c r="J27" s="45"/>
      <c r="K27" s="45"/>
      <c r="L27" s="45"/>
      <c r="M27" s="45"/>
      <c r="N27" s="45"/>
      <c r="O27" s="45"/>
      <c r="P27" s="45"/>
      <c r="Q27" s="45"/>
      <c r="R27" s="45"/>
      <c r="S27" s="45"/>
      <c r="T27" s="45"/>
      <c r="U27" s="45"/>
      <c r="V27" s="45"/>
      <c r="W27" s="45"/>
      <c r="X27" s="46"/>
      <c r="Y27" s="7"/>
      <c r="Z27" s="9"/>
      <c r="AA27" s="7"/>
    </row>
    <row r="28" spans="2:27" s="4" customFormat="1" ht="18.75" customHeight="1" x14ac:dyDescent="0.25">
      <c r="B28" s="436"/>
      <c r="C28" s="184" t="str">
        <f>Uebersetzung!$D$186&amp;" "&amp;Uebersetzung!$D$17</f>
        <v>Anteil Energiebezugsfläche EBF</v>
      </c>
      <c r="D28" s="90" t="s">
        <v>566</v>
      </c>
      <c r="E28" s="386"/>
      <c r="F28" s="386"/>
      <c r="G28" s="386"/>
      <c r="H28" s="386"/>
      <c r="I28" s="386"/>
      <c r="J28" s="386"/>
      <c r="K28" s="386"/>
      <c r="L28" s="386"/>
      <c r="M28" s="386"/>
      <c r="N28" s="386"/>
      <c r="O28" s="386"/>
      <c r="P28" s="386"/>
      <c r="Q28" s="386"/>
      <c r="R28" s="386"/>
      <c r="S28" s="386"/>
      <c r="T28" s="386"/>
      <c r="U28" s="386"/>
      <c r="V28" s="386"/>
      <c r="W28" s="386"/>
      <c r="X28" s="387"/>
      <c r="Y28" s="173"/>
      <c r="Z28" s="174"/>
      <c r="AA28" s="7"/>
    </row>
    <row r="29" spans="2:27" s="4" customFormat="1" ht="14.25" customHeight="1" x14ac:dyDescent="0.25">
      <c r="B29" s="437"/>
      <c r="C29" s="33" t="str">
        <f>Uebersetzung!$D$17</f>
        <v>Energiebezugsfläche EBF</v>
      </c>
      <c r="D29" s="73" t="s">
        <v>4</v>
      </c>
      <c r="E29" s="392">
        <f>E28*E$14</f>
        <v>0</v>
      </c>
      <c r="F29" s="392">
        <f t="shared" ref="F29" si="4">F28*F$14</f>
        <v>0</v>
      </c>
      <c r="G29" s="392">
        <f t="shared" ref="G29" si="5">G28*G$14</f>
        <v>0</v>
      </c>
      <c r="H29" s="392">
        <f t="shared" ref="H29" si="6">H28*H$14</f>
        <v>0</v>
      </c>
      <c r="I29" s="392">
        <f t="shared" ref="I29" si="7">I28*I$14</f>
        <v>0</v>
      </c>
      <c r="J29" s="392">
        <f t="shared" ref="J29" si="8">J28*J$14</f>
        <v>0</v>
      </c>
      <c r="K29" s="392">
        <f t="shared" ref="K29" si="9">K28*K$14</f>
        <v>0</v>
      </c>
      <c r="L29" s="392">
        <f t="shared" ref="L29" si="10">L28*L$14</f>
        <v>0</v>
      </c>
      <c r="M29" s="392">
        <f t="shared" ref="M29" si="11">M28*M$14</f>
        <v>0</v>
      </c>
      <c r="N29" s="392">
        <f t="shared" ref="N29" si="12">N28*N$14</f>
        <v>0</v>
      </c>
      <c r="O29" s="392">
        <f t="shared" ref="O29" si="13">O28*O$14</f>
        <v>0</v>
      </c>
      <c r="P29" s="392">
        <f t="shared" ref="P29" si="14">P28*P$14</f>
        <v>0</v>
      </c>
      <c r="Q29" s="392">
        <f t="shared" ref="Q29" si="15">Q28*Q$14</f>
        <v>0</v>
      </c>
      <c r="R29" s="392">
        <f t="shared" ref="R29" si="16">R28*R$14</f>
        <v>0</v>
      </c>
      <c r="S29" s="392">
        <f t="shared" ref="S29" si="17">S28*S$14</f>
        <v>0</v>
      </c>
      <c r="T29" s="392">
        <f t="shared" ref="T29" si="18">T28*T$14</f>
        <v>0</v>
      </c>
      <c r="U29" s="392">
        <f t="shared" ref="U29" si="19">U28*U$14</f>
        <v>0</v>
      </c>
      <c r="V29" s="392">
        <f t="shared" ref="V29" si="20">V28*V$14</f>
        <v>0</v>
      </c>
      <c r="W29" s="392">
        <f t="shared" ref="W29" si="21">W28*W$14</f>
        <v>0</v>
      </c>
      <c r="X29" s="393">
        <f t="shared" ref="X29" si="22">X28*X$14</f>
        <v>0</v>
      </c>
      <c r="Y29" s="173"/>
    </row>
    <row r="30" spans="2:27" s="4" customFormat="1" ht="18.75" customHeight="1" x14ac:dyDescent="0.25">
      <c r="B30" s="435" t="str">
        <f>Uebersetzung!$D$56&amp;" "&amp;3</f>
        <v>Zone 3</v>
      </c>
      <c r="C30" s="185" t="str">
        <f>Uebersetzung!$D$16</f>
        <v>Gebäudekategorie</v>
      </c>
      <c r="D30" s="71"/>
      <c r="E30" s="45"/>
      <c r="F30" s="45"/>
      <c r="G30" s="45"/>
      <c r="H30" s="45"/>
      <c r="I30" s="45"/>
      <c r="J30" s="45"/>
      <c r="K30" s="45"/>
      <c r="L30" s="45"/>
      <c r="M30" s="45"/>
      <c r="N30" s="45"/>
      <c r="O30" s="45"/>
      <c r="P30" s="45"/>
      <c r="Q30" s="45"/>
      <c r="R30" s="45"/>
      <c r="S30" s="45"/>
      <c r="T30" s="45"/>
      <c r="U30" s="45"/>
      <c r="V30" s="45"/>
      <c r="W30" s="45"/>
      <c r="X30" s="46"/>
      <c r="Y30" s="7"/>
      <c r="Z30" s="9"/>
      <c r="AA30" s="7"/>
    </row>
    <row r="31" spans="2:27" s="4" customFormat="1" ht="18.75" customHeight="1" x14ac:dyDescent="0.25">
      <c r="B31" s="436"/>
      <c r="C31" s="184" t="str">
        <f>Uebersetzung!$D$186&amp;" "&amp;Uebersetzung!$D$17</f>
        <v>Anteil Energiebezugsfläche EBF</v>
      </c>
      <c r="D31" s="90" t="s">
        <v>566</v>
      </c>
      <c r="E31" s="386"/>
      <c r="F31" s="386"/>
      <c r="G31" s="386"/>
      <c r="H31" s="386"/>
      <c r="I31" s="386"/>
      <c r="J31" s="386"/>
      <c r="K31" s="386"/>
      <c r="L31" s="386"/>
      <c r="M31" s="386"/>
      <c r="N31" s="386"/>
      <c r="O31" s="386"/>
      <c r="P31" s="386"/>
      <c r="Q31" s="386"/>
      <c r="R31" s="386"/>
      <c r="S31" s="386"/>
      <c r="T31" s="386"/>
      <c r="U31" s="386"/>
      <c r="V31" s="386"/>
      <c r="W31" s="386"/>
      <c r="X31" s="387"/>
      <c r="Y31" s="173"/>
      <c r="Z31" s="174"/>
      <c r="AA31" s="7"/>
    </row>
    <row r="32" spans="2:27" s="4" customFormat="1" ht="14.25" customHeight="1" x14ac:dyDescent="0.25">
      <c r="B32" s="437"/>
      <c r="C32" s="33" t="str">
        <f>Uebersetzung!$D$17</f>
        <v>Energiebezugsfläche EBF</v>
      </c>
      <c r="D32" s="73" t="s">
        <v>4</v>
      </c>
      <c r="E32" s="392">
        <f>E31*E$14</f>
        <v>0</v>
      </c>
      <c r="F32" s="392">
        <f t="shared" ref="F32" si="23">F31*F$14</f>
        <v>0</v>
      </c>
      <c r="G32" s="392">
        <f t="shared" ref="G32" si="24">G31*G$14</f>
        <v>0</v>
      </c>
      <c r="H32" s="392">
        <f t="shared" ref="H32" si="25">H31*H$14</f>
        <v>0</v>
      </c>
      <c r="I32" s="392">
        <f t="shared" ref="I32" si="26">I31*I$14</f>
        <v>0</v>
      </c>
      <c r="J32" s="392">
        <f t="shared" ref="J32" si="27">J31*J$14</f>
        <v>0</v>
      </c>
      <c r="K32" s="392">
        <f t="shared" ref="K32" si="28">K31*K$14</f>
        <v>0</v>
      </c>
      <c r="L32" s="392">
        <f t="shared" ref="L32" si="29">L31*L$14</f>
        <v>0</v>
      </c>
      <c r="M32" s="392">
        <f t="shared" ref="M32" si="30">M31*M$14</f>
        <v>0</v>
      </c>
      <c r="N32" s="392">
        <f t="shared" ref="N32" si="31">N31*N$14</f>
        <v>0</v>
      </c>
      <c r="O32" s="392">
        <f t="shared" ref="O32" si="32">O31*O$14</f>
        <v>0</v>
      </c>
      <c r="P32" s="392">
        <f t="shared" ref="P32" si="33">P31*P$14</f>
        <v>0</v>
      </c>
      <c r="Q32" s="392">
        <f t="shared" ref="Q32" si="34">Q31*Q$14</f>
        <v>0</v>
      </c>
      <c r="R32" s="392">
        <f t="shared" ref="R32" si="35">R31*R$14</f>
        <v>0</v>
      </c>
      <c r="S32" s="392">
        <f t="shared" ref="S32" si="36">S31*S$14</f>
        <v>0</v>
      </c>
      <c r="T32" s="392">
        <f t="shared" ref="T32" si="37">T31*T$14</f>
        <v>0</v>
      </c>
      <c r="U32" s="392">
        <f t="shared" ref="U32" si="38">U31*U$14</f>
        <v>0</v>
      </c>
      <c r="V32" s="392">
        <f t="shared" ref="V32" si="39">V31*V$14</f>
        <v>0</v>
      </c>
      <c r="W32" s="392">
        <f t="shared" ref="W32" si="40">W31*W$14</f>
        <v>0</v>
      </c>
      <c r="X32" s="393">
        <f t="shared" ref="X32" si="41">X31*X$14</f>
        <v>0</v>
      </c>
      <c r="Y32" s="173"/>
    </row>
    <row r="33" spans="2:27" s="4" customFormat="1" ht="18.75" customHeight="1" x14ac:dyDescent="0.25">
      <c r="B33" s="435" t="str">
        <f>Uebersetzung!$D$56&amp;" "&amp;4</f>
        <v>Zone 4</v>
      </c>
      <c r="C33" s="185" t="str">
        <f>Uebersetzung!$D$16</f>
        <v>Gebäudekategorie</v>
      </c>
      <c r="D33" s="71"/>
      <c r="E33" s="45"/>
      <c r="F33" s="45"/>
      <c r="G33" s="45"/>
      <c r="H33" s="45"/>
      <c r="I33" s="45"/>
      <c r="J33" s="45"/>
      <c r="K33" s="45"/>
      <c r="L33" s="45"/>
      <c r="M33" s="45"/>
      <c r="N33" s="45"/>
      <c r="O33" s="45"/>
      <c r="P33" s="45"/>
      <c r="Q33" s="45"/>
      <c r="R33" s="45"/>
      <c r="S33" s="45"/>
      <c r="T33" s="45"/>
      <c r="U33" s="45"/>
      <c r="V33" s="45"/>
      <c r="W33" s="45"/>
      <c r="X33" s="46"/>
      <c r="Y33" s="7"/>
      <c r="Z33" s="9"/>
      <c r="AA33" s="7"/>
    </row>
    <row r="34" spans="2:27" s="4" customFormat="1" ht="18.75" customHeight="1" x14ac:dyDescent="0.25">
      <c r="B34" s="436"/>
      <c r="C34" s="184" t="str">
        <f>Uebersetzung!$D$186&amp;" "&amp;Uebersetzung!$D$17</f>
        <v>Anteil Energiebezugsfläche EBF</v>
      </c>
      <c r="D34" s="90" t="s">
        <v>566</v>
      </c>
      <c r="E34" s="386"/>
      <c r="F34" s="386"/>
      <c r="G34" s="386"/>
      <c r="H34" s="386"/>
      <c r="I34" s="386"/>
      <c r="J34" s="386"/>
      <c r="K34" s="386"/>
      <c r="L34" s="386"/>
      <c r="M34" s="386"/>
      <c r="N34" s="386"/>
      <c r="O34" s="386"/>
      <c r="P34" s="386"/>
      <c r="Q34" s="386"/>
      <c r="R34" s="386"/>
      <c r="S34" s="386"/>
      <c r="T34" s="386"/>
      <c r="U34" s="386"/>
      <c r="V34" s="386"/>
      <c r="W34" s="386"/>
      <c r="X34" s="387"/>
      <c r="Y34" s="173"/>
      <c r="Z34" s="174"/>
      <c r="AA34" s="7"/>
    </row>
    <row r="35" spans="2:27" s="4" customFormat="1" ht="14.25" customHeight="1" x14ac:dyDescent="0.25">
      <c r="B35" s="437"/>
      <c r="C35" s="33" t="str">
        <f>Uebersetzung!$D$17</f>
        <v>Energiebezugsfläche EBF</v>
      </c>
      <c r="D35" s="73" t="s">
        <v>4</v>
      </c>
      <c r="E35" s="392">
        <f>E34*E$14</f>
        <v>0</v>
      </c>
      <c r="F35" s="392">
        <f t="shared" ref="F35" si="42">F34*F$14</f>
        <v>0</v>
      </c>
      <c r="G35" s="392">
        <f t="shared" ref="G35" si="43">G34*G$14</f>
        <v>0</v>
      </c>
      <c r="H35" s="392">
        <f t="shared" ref="H35" si="44">H34*H$14</f>
        <v>0</v>
      </c>
      <c r="I35" s="392">
        <f t="shared" ref="I35" si="45">I34*I$14</f>
        <v>0</v>
      </c>
      <c r="J35" s="392">
        <f t="shared" ref="J35" si="46">J34*J$14</f>
        <v>0</v>
      </c>
      <c r="K35" s="392">
        <f t="shared" ref="K35" si="47">K34*K$14</f>
        <v>0</v>
      </c>
      <c r="L35" s="392">
        <f t="shared" ref="L35" si="48">L34*L$14</f>
        <v>0</v>
      </c>
      <c r="M35" s="392">
        <f t="shared" ref="M35" si="49">M34*M$14</f>
        <v>0</v>
      </c>
      <c r="N35" s="392">
        <f t="shared" ref="N35" si="50">N34*N$14</f>
        <v>0</v>
      </c>
      <c r="O35" s="392">
        <f t="shared" ref="O35" si="51">O34*O$14</f>
        <v>0</v>
      </c>
      <c r="P35" s="392">
        <f t="shared" ref="P35" si="52">P34*P$14</f>
        <v>0</v>
      </c>
      <c r="Q35" s="392">
        <f t="shared" ref="Q35" si="53">Q34*Q$14</f>
        <v>0</v>
      </c>
      <c r="R35" s="392">
        <f t="shared" ref="R35" si="54">R34*R$14</f>
        <v>0</v>
      </c>
      <c r="S35" s="392">
        <f t="shared" ref="S35" si="55">S34*S$14</f>
        <v>0</v>
      </c>
      <c r="T35" s="392">
        <f t="shared" ref="T35" si="56">T34*T$14</f>
        <v>0</v>
      </c>
      <c r="U35" s="392">
        <f t="shared" ref="U35" si="57">U34*U$14</f>
        <v>0</v>
      </c>
      <c r="V35" s="392">
        <f t="shared" ref="V35" si="58">V34*V$14</f>
        <v>0</v>
      </c>
      <c r="W35" s="392">
        <f t="shared" ref="W35" si="59">W34*W$14</f>
        <v>0</v>
      </c>
      <c r="X35" s="393">
        <f t="shared" ref="X35" si="60">X34*X$14</f>
        <v>0</v>
      </c>
      <c r="Y35" s="173"/>
    </row>
    <row r="36" spans="2:27" s="4" customFormat="1" ht="18.75" customHeight="1" x14ac:dyDescent="0.25">
      <c r="B36" s="435" t="str">
        <f>Uebersetzung!$D$56&amp;" "&amp;5</f>
        <v>Zone 5</v>
      </c>
      <c r="C36" s="185" t="str">
        <f>Uebersetzung!$D$16</f>
        <v>Gebäudekategorie</v>
      </c>
      <c r="D36" s="71"/>
      <c r="E36" s="45"/>
      <c r="F36" s="45"/>
      <c r="G36" s="45"/>
      <c r="H36" s="45"/>
      <c r="I36" s="45"/>
      <c r="J36" s="45"/>
      <c r="K36" s="45"/>
      <c r="L36" s="45"/>
      <c r="M36" s="45"/>
      <c r="N36" s="45"/>
      <c r="O36" s="45"/>
      <c r="P36" s="45"/>
      <c r="Q36" s="45"/>
      <c r="R36" s="45"/>
      <c r="S36" s="45"/>
      <c r="T36" s="45"/>
      <c r="U36" s="45"/>
      <c r="V36" s="45"/>
      <c r="W36" s="45"/>
      <c r="X36" s="46"/>
      <c r="Y36" s="7"/>
      <c r="Z36" s="9"/>
      <c r="AA36" s="7"/>
    </row>
    <row r="37" spans="2:27" s="4" customFormat="1" ht="18.75" customHeight="1" x14ac:dyDescent="0.25">
      <c r="B37" s="436"/>
      <c r="C37" s="184" t="str">
        <f>Uebersetzung!$D$186&amp;" "&amp;Uebersetzung!$D$17</f>
        <v>Anteil Energiebezugsfläche EBF</v>
      </c>
      <c r="D37" s="90" t="s">
        <v>566</v>
      </c>
      <c r="E37" s="388"/>
      <c r="F37" s="388"/>
      <c r="G37" s="388"/>
      <c r="H37" s="388"/>
      <c r="I37" s="388"/>
      <c r="J37" s="388"/>
      <c r="K37" s="388"/>
      <c r="L37" s="388"/>
      <c r="M37" s="388"/>
      <c r="N37" s="388"/>
      <c r="O37" s="388"/>
      <c r="P37" s="388"/>
      <c r="Q37" s="388"/>
      <c r="R37" s="388"/>
      <c r="S37" s="388"/>
      <c r="T37" s="388"/>
      <c r="U37" s="388"/>
      <c r="V37" s="388"/>
      <c r="W37" s="388"/>
      <c r="X37" s="389"/>
      <c r="Y37" s="173"/>
      <c r="Z37" s="174"/>
      <c r="AA37" s="7"/>
    </row>
    <row r="38" spans="2:27" s="4" customFormat="1" ht="14.25" customHeight="1" x14ac:dyDescent="0.25">
      <c r="B38" s="437"/>
      <c r="C38" s="33" t="str">
        <f>Uebersetzung!$D$17</f>
        <v>Energiebezugsfläche EBF</v>
      </c>
      <c r="D38" s="73" t="s">
        <v>4</v>
      </c>
      <c r="E38" s="392">
        <f>E37*E$14</f>
        <v>0</v>
      </c>
      <c r="F38" s="392">
        <f t="shared" ref="F38" si="61">F37*F$14</f>
        <v>0</v>
      </c>
      <c r="G38" s="392">
        <f t="shared" ref="G38" si="62">G37*G$14</f>
        <v>0</v>
      </c>
      <c r="H38" s="392">
        <f t="shared" ref="H38" si="63">H37*H$14</f>
        <v>0</v>
      </c>
      <c r="I38" s="392">
        <f t="shared" ref="I38" si="64">I37*I$14</f>
        <v>0</v>
      </c>
      <c r="J38" s="392">
        <f t="shared" ref="J38" si="65">J37*J$14</f>
        <v>0</v>
      </c>
      <c r="K38" s="392">
        <f t="shared" ref="K38" si="66">K37*K$14</f>
        <v>0</v>
      </c>
      <c r="L38" s="392">
        <f t="shared" ref="L38" si="67">L37*L$14</f>
        <v>0</v>
      </c>
      <c r="M38" s="392">
        <f t="shared" ref="M38" si="68">M37*M$14</f>
        <v>0</v>
      </c>
      <c r="N38" s="392">
        <f t="shared" ref="N38" si="69">N37*N$14</f>
        <v>0</v>
      </c>
      <c r="O38" s="392">
        <f t="shared" ref="O38" si="70">O37*O$14</f>
        <v>0</v>
      </c>
      <c r="P38" s="392">
        <f t="shared" ref="P38" si="71">P37*P$14</f>
        <v>0</v>
      </c>
      <c r="Q38" s="392">
        <f t="shared" ref="Q38" si="72">Q37*Q$14</f>
        <v>0</v>
      </c>
      <c r="R38" s="392">
        <f t="shared" ref="R38" si="73">R37*R$14</f>
        <v>0</v>
      </c>
      <c r="S38" s="392">
        <f t="shared" ref="S38" si="74">S37*S$14</f>
        <v>0</v>
      </c>
      <c r="T38" s="392">
        <f t="shared" ref="T38" si="75">T37*T$14</f>
        <v>0</v>
      </c>
      <c r="U38" s="392">
        <f t="shared" ref="U38" si="76">U37*U$14</f>
        <v>0</v>
      </c>
      <c r="V38" s="392">
        <f t="shared" ref="V38" si="77">V37*V$14</f>
        <v>0</v>
      </c>
      <c r="W38" s="392">
        <f t="shared" ref="W38" si="78">W37*W$14</f>
        <v>0</v>
      </c>
      <c r="X38" s="393">
        <f t="shared" ref="X38" si="79">X37*X$14</f>
        <v>0</v>
      </c>
      <c r="Y38" s="173"/>
    </row>
    <row r="39" spans="2:27" s="4" customFormat="1" ht="18.75" customHeight="1" x14ac:dyDescent="0.25">
      <c r="B39" s="435" t="str">
        <f>Uebersetzung!$D$56&amp;" "&amp;6</f>
        <v>Zone 6</v>
      </c>
      <c r="C39" s="185" t="str">
        <f>Uebersetzung!$D$16</f>
        <v>Gebäudekategorie</v>
      </c>
      <c r="D39" s="71"/>
      <c r="E39" s="45"/>
      <c r="F39" s="45"/>
      <c r="G39" s="45"/>
      <c r="H39" s="45"/>
      <c r="I39" s="45"/>
      <c r="J39" s="45"/>
      <c r="K39" s="45"/>
      <c r="L39" s="45"/>
      <c r="M39" s="45"/>
      <c r="N39" s="45"/>
      <c r="O39" s="45"/>
      <c r="P39" s="45"/>
      <c r="Q39" s="45"/>
      <c r="R39" s="45"/>
      <c r="S39" s="45"/>
      <c r="T39" s="45"/>
      <c r="U39" s="45"/>
      <c r="V39" s="45"/>
      <c r="W39" s="45"/>
      <c r="X39" s="46"/>
      <c r="Y39" s="7"/>
      <c r="Z39" s="9"/>
      <c r="AA39" s="7"/>
    </row>
    <row r="40" spans="2:27" s="4" customFormat="1" ht="18.75" customHeight="1" x14ac:dyDescent="0.25">
      <c r="B40" s="436"/>
      <c r="C40" s="184" t="str">
        <f>Uebersetzung!$D$186&amp;" "&amp;Uebersetzung!$D$17</f>
        <v>Anteil Energiebezugsfläche EBF</v>
      </c>
      <c r="D40" s="90" t="s">
        <v>566</v>
      </c>
      <c r="E40" s="388"/>
      <c r="F40" s="388"/>
      <c r="G40" s="388"/>
      <c r="H40" s="388"/>
      <c r="I40" s="388"/>
      <c r="J40" s="388"/>
      <c r="K40" s="388"/>
      <c r="L40" s="388"/>
      <c r="M40" s="388"/>
      <c r="N40" s="388"/>
      <c r="O40" s="388"/>
      <c r="P40" s="388"/>
      <c r="Q40" s="388"/>
      <c r="R40" s="388"/>
      <c r="S40" s="388"/>
      <c r="T40" s="388"/>
      <c r="U40" s="388"/>
      <c r="V40" s="388"/>
      <c r="W40" s="388"/>
      <c r="X40" s="389"/>
      <c r="Y40" s="173"/>
      <c r="Z40" s="174"/>
      <c r="AA40" s="7"/>
    </row>
    <row r="41" spans="2:27" s="4" customFormat="1" ht="14.25" customHeight="1" x14ac:dyDescent="0.25">
      <c r="B41" s="437"/>
      <c r="C41" s="33" t="str">
        <f>Uebersetzung!$D$17</f>
        <v>Energiebezugsfläche EBF</v>
      </c>
      <c r="D41" s="73" t="s">
        <v>4</v>
      </c>
      <c r="E41" s="392">
        <f>E40*E$14</f>
        <v>0</v>
      </c>
      <c r="F41" s="392">
        <f t="shared" ref="F41" si="80">F40*F$14</f>
        <v>0</v>
      </c>
      <c r="G41" s="392">
        <f t="shared" ref="G41" si="81">G40*G$14</f>
        <v>0</v>
      </c>
      <c r="H41" s="392">
        <f t="shared" ref="H41" si="82">H40*H$14</f>
        <v>0</v>
      </c>
      <c r="I41" s="392">
        <f t="shared" ref="I41" si="83">I40*I$14</f>
        <v>0</v>
      </c>
      <c r="J41" s="392">
        <f t="shared" ref="J41" si="84">J40*J$14</f>
        <v>0</v>
      </c>
      <c r="K41" s="392">
        <f t="shared" ref="K41" si="85">K40*K$14</f>
        <v>0</v>
      </c>
      <c r="L41" s="392">
        <f t="shared" ref="L41" si="86">L40*L$14</f>
        <v>0</v>
      </c>
      <c r="M41" s="392">
        <f t="shared" ref="M41" si="87">M40*M$14</f>
        <v>0</v>
      </c>
      <c r="N41" s="392">
        <f t="shared" ref="N41" si="88">N40*N$14</f>
        <v>0</v>
      </c>
      <c r="O41" s="392">
        <f t="shared" ref="O41" si="89">O40*O$14</f>
        <v>0</v>
      </c>
      <c r="P41" s="392">
        <f t="shared" ref="P41" si="90">P40*P$14</f>
        <v>0</v>
      </c>
      <c r="Q41" s="392">
        <f t="shared" ref="Q41" si="91">Q40*Q$14</f>
        <v>0</v>
      </c>
      <c r="R41" s="392">
        <f t="shared" ref="R41" si="92">R40*R$14</f>
        <v>0</v>
      </c>
      <c r="S41" s="392">
        <f t="shared" ref="S41" si="93">S40*S$14</f>
        <v>0</v>
      </c>
      <c r="T41" s="392">
        <f t="shared" ref="T41" si="94">T40*T$14</f>
        <v>0</v>
      </c>
      <c r="U41" s="392">
        <f t="shared" ref="U41" si="95">U40*U$14</f>
        <v>0</v>
      </c>
      <c r="V41" s="392">
        <f t="shared" ref="V41" si="96">V40*V$14</f>
        <v>0</v>
      </c>
      <c r="W41" s="392">
        <f t="shared" ref="W41" si="97">W40*W$14</f>
        <v>0</v>
      </c>
      <c r="X41" s="393">
        <f t="shared" ref="X41" si="98">X40*X$14</f>
        <v>0</v>
      </c>
      <c r="Y41" s="173"/>
    </row>
    <row r="42" spans="2:27" s="175" customFormat="1" ht="37.15" customHeight="1" x14ac:dyDescent="0.2">
      <c r="B42" s="198"/>
      <c r="C42" s="186" t="str">
        <f>Uebersetzung!D133&amp;" ("&amp;Uebersetzung!D27&amp;")"</f>
        <v>C1.4 Nutzung solare Energie (Eigenstromerzeugung)</v>
      </c>
      <c r="D42" s="15"/>
      <c r="E42" s="187"/>
      <c r="F42" s="187"/>
      <c r="G42" s="187"/>
      <c r="H42" s="187"/>
      <c r="I42" s="187"/>
      <c r="J42" s="187"/>
      <c r="K42" s="187"/>
      <c r="L42" s="187"/>
      <c r="M42" s="187"/>
      <c r="N42" s="187"/>
      <c r="O42" s="187"/>
      <c r="P42" s="187"/>
      <c r="Q42" s="187"/>
      <c r="R42" s="187"/>
      <c r="S42" s="187"/>
      <c r="T42" s="187"/>
      <c r="U42" s="187"/>
      <c r="V42" s="187"/>
      <c r="W42" s="187"/>
      <c r="X42" s="187"/>
      <c r="Y42" s="173"/>
      <c r="Z42" s="207"/>
      <c r="AA42" s="208"/>
    </row>
    <row r="43" spans="2:27" s="175" customFormat="1" ht="21.95" customHeight="1" x14ac:dyDescent="0.25">
      <c r="C43" s="431" t="str">
        <f>Uebersetzung!D191</f>
        <v>Bauten im Schutzinventar: lässt kommunale Vorschrift PV-Anlage  zu?</v>
      </c>
      <c r="D43" s="432"/>
      <c r="E43" s="415"/>
      <c r="F43" s="415"/>
      <c r="G43" s="415"/>
      <c r="H43" s="415"/>
      <c r="I43" s="415"/>
      <c r="J43" s="415"/>
      <c r="K43" s="415"/>
      <c r="L43" s="415"/>
      <c r="M43" s="415"/>
      <c r="N43" s="415"/>
      <c r="O43" s="415"/>
      <c r="P43" s="415"/>
      <c r="Q43" s="415"/>
      <c r="R43" s="415"/>
      <c r="S43" s="415"/>
      <c r="T43" s="415"/>
      <c r="U43" s="415"/>
      <c r="V43" s="415"/>
      <c r="W43" s="415"/>
      <c r="X43" s="416"/>
      <c r="Y43" s="173"/>
      <c r="Z43" s="174"/>
      <c r="AA43" s="7"/>
    </row>
    <row r="44" spans="2:27" s="4" customFormat="1" ht="18.75" hidden="1" customHeight="1" x14ac:dyDescent="0.25">
      <c r="C44" s="400" t="str">
        <f>Uebersetzung!$D$36&amp;", "&amp;Uebersetzung!$D$40</f>
        <v>Installierte Leistung, Anforderung</v>
      </c>
      <c r="D44" s="183" t="s">
        <v>10</v>
      </c>
      <c r="E44" s="401" t="str">
        <f>IF(ISBLANK(E10),"",IF(E15=Neubau_Erneuerung,E81,E80))</f>
        <v/>
      </c>
      <c r="F44" s="401" t="str">
        <f t="shared" ref="F44:X44" si="99">IF(ISBLANK(F10),"",IF(F15=Neubau_Erneuerung,F81,F80))</f>
        <v/>
      </c>
      <c r="G44" s="401" t="str">
        <f t="shared" si="99"/>
        <v/>
      </c>
      <c r="H44" s="401" t="str">
        <f t="shared" si="99"/>
        <v/>
      </c>
      <c r="I44" s="401" t="str">
        <f t="shared" si="99"/>
        <v/>
      </c>
      <c r="J44" s="401" t="str">
        <f t="shared" si="99"/>
        <v/>
      </c>
      <c r="K44" s="401" t="str">
        <f t="shared" si="99"/>
        <v/>
      </c>
      <c r="L44" s="401" t="str">
        <f t="shared" si="99"/>
        <v/>
      </c>
      <c r="M44" s="401" t="str">
        <f t="shared" si="99"/>
        <v/>
      </c>
      <c r="N44" s="401" t="str">
        <f t="shared" si="99"/>
        <v/>
      </c>
      <c r="O44" s="401" t="str">
        <f t="shared" si="99"/>
        <v/>
      </c>
      <c r="P44" s="401" t="str">
        <f t="shared" si="99"/>
        <v/>
      </c>
      <c r="Q44" s="401" t="str">
        <f t="shared" si="99"/>
        <v/>
      </c>
      <c r="R44" s="401" t="str">
        <f t="shared" si="99"/>
        <v/>
      </c>
      <c r="S44" s="401" t="str">
        <f t="shared" si="99"/>
        <v/>
      </c>
      <c r="T44" s="401" t="str">
        <f t="shared" si="99"/>
        <v/>
      </c>
      <c r="U44" s="401" t="str">
        <f t="shared" si="99"/>
        <v/>
      </c>
      <c r="V44" s="401" t="str">
        <f t="shared" si="99"/>
        <v/>
      </c>
      <c r="W44" s="401" t="str">
        <f t="shared" si="99"/>
        <v/>
      </c>
      <c r="X44" s="108" t="str">
        <f t="shared" si="99"/>
        <v/>
      </c>
      <c r="Y44" s="8"/>
      <c r="Z44" s="190">
        <f>SUM(E44:X44)</f>
        <v>0</v>
      </c>
      <c r="AA44" s="177" t="str">
        <f>Uebersetzung!D$38</f>
        <v>Summe</v>
      </c>
    </row>
    <row r="45" spans="2:27" s="4" customFormat="1" ht="18.75" customHeight="1" x14ac:dyDescent="0.25">
      <c r="C45" s="72" t="str">
        <f>Uebersetzung!D36&amp;", "&amp;Uebersetzung!D41</f>
        <v>Installierte Leistung, Projektwert</v>
      </c>
      <c r="D45" s="73" t="s">
        <v>10</v>
      </c>
      <c r="E45" s="53"/>
      <c r="F45" s="53"/>
      <c r="G45" s="53"/>
      <c r="H45" s="53"/>
      <c r="I45" s="53"/>
      <c r="J45" s="53"/>
      <c r="K45" s="53"/>
      <c r="L45" s="53"/>
      <c r="M45" s="53"/>
      <c r="N45" s="53"/>
      <c r="O45" s="53"/>
      <c r="P45" s="53"/>
      <c r="Q45" s="53"/>
      <c r="R45" s="53"/>
      <c r="S45" s="53"/>
      <c r="T45" s="53"/>
      <c r="U45" s="53"/>
      <c r="V45" s="53"/>
      <c r="W45" s="53"/>
      <c r="X45" s="407"/>
      <c r="Y45" s="8"/>
      <c r="Z45" s="191">
        <f>SUM(E45:X45)</f>
        <v>0</v>
      </c>
      <c r="AA45" s="182" t="str">
        <f>Uebersetzung!D$38</f>
        <v>Summe</v>
      </c>
    </row>
    <row r="46" spans="2:27" s="175" customFormat="1" ht="37.15" customHeight="1" x14ac:dyDescent="0.2">
      <c r="C46" s="186" t="str">
        <f>Uebersetzung!D134</f>
        <v>C2.1 Treibhausgasemissionen in der Erstellung</v>
      </c>
      <c r="D46" s="15"/>
      <c r="E46" s="187"/>
      <c r="F46" s="187"/>
      <c r="G46" s="187"/>
      <c r="H46" s="187"/>
      <c r="I46" s="187"/>
      <c r="J46" s="187"/>
      <c r="K46" s="187"/>
      <c r="L46" s="187"/>
      <c r="M46" s="187"/>
      <c r="N46" s="187"/>
      <c r="O46" s="187"/>
      <c r="P46" s="187"/>
      <c r="Q46" s="187"/>
      <c r="R46" s="187"/>
      <c r="S46" s="187"/>
      <c r="T46" s="187"/>
      <c r="U46" s="187"/>
      <c r="V46" s="187"/>
      <c r="W46" s="187"/>
      <c r="X46" s="187"/>
      <c r="Y46" s="173"/>
      <c r="Z46" s="188"/>
      <c r="AA46" s="189"/>
    </row>
    <row r="47" spans="2:27" s="175" customFormat="1" ht="18.75" customHeight="1" x14ac:dyDescent="0.2">
      <c r="C47" s="325" t="str">
        <f>Uebersetzung!D173</f>
        <v>Angaben zum Rückbau von Bestandesbauten</v>
      </c>
      <c r="D47" s="326"/>
      <c r="E47" s="327"/>
      <c r="F47" s="327"/>
      <c r="G47" s="327"/>
      <c r="H47" s="327"/>
      <c r="I47" s="327"/>
      <c r="J47" s="327"/>
      <c r="K47" s="327"/>
      <c r="L47" s="327"/>
      <c r="M47" s="327"/>
      <c r="N47" s="327"/>
      <c r="O47" s="327"/>
      <c r="P47" s="327"/>
      <c r="Q47" s="327"/>
      <c r="R47" s="327"/>
      <c r="S47" s="327"/>
      <c r="T47" s="327"/>
      <c r="U47" s="327"/>
      <c r="V47" s="327"/>
      <c r="W47" s="327"/>
      <c r="X47" s="328"/>
      <c r="Y47" s="173"/>
      <c r="Z47" s="320"/>
      <c r="AA47" s="196"/>
    </row>
    <row r="48" spans="2:27" s="175" customFormat="1" ht="18.75" customHeight="1" x14ac:dyDescent="0.25">
      <c r="B48" s="192"/>
      <c r="C48" s="322" t="str">
        <f>Uebersetzung!D122</f>
        <v>Wird ein Bestandesbau rückgebaut?</v>
      </c>
      <c r="D48" s="183"/>
      <c r="E48" s="323"/>
      <c r="F48" s="323"/>
      <c r="G48" s="323"/>
      <c r="H48" s="323"/>
      <c r="I48" s="323"/>
      <c r="J48" s="323"/>
      <c r="K48" s="323"/>
      <c r="L48" s="323"/>
      <c r="M48" s="323"/>
      <c r="N48" s="323"/>
      <c r="O48" s="323"/>
      <c r="P48" s="323"/>
      <c r="Q48" s="323"/>
      <c r="R48" s="323"/>
      <c r="S48" s="323"/>
      <c r="T48" s="323"/>
      <c r="U48" s="323"/>
      <c r="V48" s="323"/>
      <c r="W48" s="323"/>
      <c r="X48" s="324"/>
      <c r="Y48" s="173"/>
      <c r="Z48" s="193"/>
      <c r="AA48" s="177"/>
    </row>
    <row r="49" spans="2:27" s="4" customFormat="1" ht="18.75" customHeight="1" x14ac:dyDescent="0.25">
      <c r="B49" s="194"/>
      <c r="C49" s="247" t="str">
        <f>Uebersetzung!D107</f>
        <v>Gebäudekategorie (Hauptnutzung) des rückgebauten Gebäudes</v>
      </c>
      <c r="D49" s="77"/>
      <c r="E49" s="43"/>
      <c r="F49" s="43"/>
      <c r="G49" s="43"/>
      <c r="H49" s="43"/>
      <c r="I49" s="43"/>
      <c r="J49" s="43"/>
      <c r="K49" s="43"/>
      <c r="L49" s="43"/>
      <c r="M49" s="43"/>
      <c r="N49" s="43"/>
      <c r="O49" s="43"/>
      <c r="P49" s="43"/>
      <c r="Q49" s="43"/>
      <c r="R49" s="43"/>
      <c r="S49" s="43"/>
      <c r="T49" s="43"/>
      <c r="U49" s="43"/>
      <c r="V49" s="43"/>
      <c r="W49" s="43"/>
      <c r="X49" s="44"/>
      <c r="Y49" s="7"/>
      <c r="Z49" s="178"/>
      <c r="AA49" s="179"/>
    </row>
    <row r="50" spans="2:27" s="4" customFormat="1" ht="18.75" customHeight="1" x14ac:dyDescent="0.25">
      <c r="B50" s="194"/>
      <c r="C50" s="247" t="str">
        <f>Uebersetzung!D21</f>
        <v>EBF des rückgebauten Gebäudes</v>
      </c>
      <c r="D50" s="77" t="s">
        <v>4</v>
      </c>
      <c r="E50" s="47"/>
      <c r="F50" s="47"/>
      <c r="G50" s="47"/>
      <c r="H50" s="47"/>
      <c r="I50" s="47"/>
      <c r="J50" s="47"/>
      <c r="K50" s="47"/>
      <c r="L50" s="47"/>
      <c r="M50" s="47"/>
      <c r="N50" s="47"/>
      <c r="O50" s="47"/>
      <c r="P50" s="47"/>
      <c r="Q50" s="47"/>
      <c r="R50" s="47"/>
      <c r="S50" s="47"/>
      <c r="T50" s="47"/>
      <c r="U50" s="47"/>
      <c r="V50" s="47"/>
      <c r="W50" s="47"/>
      <c r="X50" s="48"/>
      <c r="Y50" s="173"/>
      <c r="Z50" s="180">
        <f>SUM(E50:X50)</f>
        <v>0</v>
      </c>
      <c r="AA50" s="179" t="str">
        <f>Uebersetzung!D$38</f>
        <v>Summe</v>
      </c>
    </row>
    <row r="51" spans="2:27" s="4" customFormat="1" ht="18.75" customHeight="1" x14ac:dyDescent="0.25">
      <c r="B51" s="194"/>
      <c r="C51" s="267" t="str">
        <f>Uebersetzung!D22</f>
        <v>Alter des rückgebauten Gebäudes</v>
      </c>
      <c r="D51" s="73" t="s">
        <v>52</v>
      </c>
      <c r="E51" s="59"/>
      <c r="F51" s="59"/>
      <c r="G51" s="59"/>
      <c r="H51" s="59"/>
      <c r="I51" s="59"/>
      <c r="J51" s="59"/>
      <c r="K51" s="59"/>
      <c r="L51" s="59"/>
      <c r="M51" s="59"/>
      <c r="N51" s="59"/>
      <c r="O51" s="59"/>
      <c r="P51" s="59"/>
      <c r="Q51" s="59"/>
      <c r="R51" s="59"/>
      <c r="S51" s="59"/>
      <c r="T51" s="59"/>
      <c r="U51" s="59"/>
      <c r="V51" s="59"/>
      <c r="W51" s="59"/>
      <c r="X51" s="60"/>
      <c r="Y51" s="173"/>
      <c r="Z51" s="180"/>
      <c r="AA51" s="179"/>
    </row>
    <row r="52" spans="2:27" s="4" customFormat="1" ht="18.75" customHeight="1" x14ac:dyDescent="0.2">
      <c r="C52" s="39" t="str">
        <f>Uebersetzung!D174</f>
        <v>Angaben zum Neubau</v>
      </c>
      <c r="D52" s="263"/>
      <c r="E52" s="75"/>
      <c r="F52" s="327"/>
      <c r="G52" s="327"/>
      <c r="H52" s="327"/>
      <c r="I52" s="327"/>
      <c r="J52" s="327"/>
      <c r="K52" s="327"/>
      <c r="L52" s="327"/>
      <c r="M52" s="327"/>
      <c r="N52" s="327"/>
      <c r="O52" s="327"/>
      <c r="P52" s="327"/>
      <c r="Q52" s="327"/>
      <c r="R52" s="327"/>
      <c r="S52" s="327"/>
      <c r="T52" s="327"/>
      <c r="U52" s="327"/>
      <c r="V52" s="327"/>
      <c r="W52" s="327"/>
      <c r="X52" s="328"/>
      <c r="Y52" s="173"/>
      <c r="Z52" s="180"/>
      <c r="AA52" s="179"/>
    </row>
    <row r="53" spans="2:27" s="4" customFormat="1" ht="18.75" hidden="1" customHeight="1" x14ac:dyDescent="0.25">
      <c r="C53" s="237" t="str">
        <f>Uebersetzung!D26&amp;", "&amp;Uebersetzung!D40</f>
        <v>THGE Erstellung, Anforderung</v>
      </c>
      <c r="D53" s="77" t="s">
        <v>39</v>
      </c>
      <c r="E53" s="369" t="str">
        <f>IF(AND(E$15=Neubau_Erneuerung,E91&gt;0),MAX(SUMPRODUCT(E85:E90,E138:E143)/E91,0),"-")</f>
        <v>-</v>
      </c>
      <c r="F53" s="152" t="str">
        <f t="shared" ref="F53:X53" si="100">IF(AND(F$15=Neubau_Erneuerung,F91&gt;0),MAX(SUMPRODUCT(F85:F90,F138:F143)/F91,0),"-")</f>
        <v>-</v>
      </c>
      <c r="G53" s="152" t="str">
        <f t="shared" si="100"/>
        <v>-</v>
      </c>
      <c r="H53" s="152" t="str">
        <f t="shared" si="100"/>
        <v>-</v>
      </c>
      <c r="I53" s="152" t="str">
        <f t="shared" si="100"/>
        <v>-</v>
      </c>
      <c r="J53" s="152" t="str">
        <f t="shared" si="100"/>
        <v>-</v>
      </c>
      <c r="K53" s="152" t="str">
        <f t="shared" si="100"/>
        <v>-</v>
      </c>
      <c r="L53" s="152" t="str">
        <f t="shared" si="100"/>
        <v>-</v>
      </c>
      <c r="M53" s="152" t="str">
        <f t="shared" si="100"/>
        <v>-</v>
      </c>
      <c r="N53" s="152" t="str">
        <f t="shared" si="100"/>
        <v>-</v>
      </c>
      <c r="O53" s="152" t="str">
        <f t="shared" si="100"/>
        <v>-</v>
      </c>
      <c r="P53" s="152" t="str">
        <f t="shared" si="100"/>
        <v>-</v>
      </c>
      <c r="Q53" s="152" t="str">
        <f t="shared" si="100"/>
        <v>-</v>
      </c>
      <c r="R53" s="152" t="str">
        <f t="shared" si="100"/>
        <v>-</v>
      </c>
      <c r="S53" s="152" t="str">
        <f t="shared" si="100"/>
        <v>-</v>
      </c>
      <c r="T53" s="152" t="str">
        <f t="shared" si="100"/>
        <v>-</v>
      </c>
      <c r="U53" s="152" t="str">
        <f t="shared" si="100"/>
        <v>-</v>
      </c>
      <c r="V53" s="152" t="str">
        <f t="shared" si="100"/>
        <v>-</v>
      </c>
      <c r="W53" s="152" t="str">
        <f t="shared" si="100"/>
        <v>-</v>
      </c>
      <c r="X53" s="319" t="str">
        <f t="shared" si="100"/>
        <v>-</v>
      </c>
      <c r="Y53" s="8"/>
      <c r="Z53" s="139" t="e">
        <f>SUMPRODUCT(E53:X53,E91:X91)/Z91</f>
        <v>#DIV/0!</v>
      </c>
      <c r="AA53" s="179" t="str">
        <f>Uebersetzung!D$39</f>
        <v>Flächengewichter Durchschnitt</v>
      </c>
    </row>
    <row r="54" spans="2:27" s="4" customFormat="1" ht="18.75" customHeight="1" x14ac:dyDescent="0.25">
      <c r="C54" s="321" t="str">
        <f>Uebersetzung!D26&amp;", "&amp;Uebersetzung!D41</f>
        <v>THGE Erstellung, Projektwert</v>
      </c>
      <c r="D54" s="73" t="s">
        <v>192</v>
      </c>
      <c r="E54" s="51"/>
      <c r="F54" s="51"/>
      <c r="G54" s="51"/>
      <c r="H54" s="51"/>
      <c r="I54" s="51"/>
      <c r="J54" s="51"/>
      <c r="K54" s="51"/>
      <c r="L54" s="51"/>
      <c r="M54" s="51"/>
      <c r="N54" s="51"/>
      <c r="O54" s="51"/>
      <c r="P54" s="51"/>
      <c r="Q54" s="51"/>
      <c r="R54" s="51"/>
      <c r="S54" s="51"/>
      <c r="T54" s="51"/>
      <c r="U54" s="51"/>
      <c r="V54" s="51"/>
      <c r="W54" s="51"/>
      <c r="X54" s="52"/>
      <c r="Y54" s="8"/>
      <c r="Z54" s="191" t="e">
        <f>SUMPRODUCT(E54:X54,E91:X91)/Z91</f>
        <v>#DIV/0!</v>
      </c>
      <c r="AA54" s="182" t="str">
        <f>Uebersetzung!D$39</f>
        <v>Flächengewichter Durchschnitt</v>
      </c>
    </row>
    <row r="55" spans="2:27" s="175" customFormat="1" ht="37.15" customHeight="1" x14ac:dyDescent="0.2">
      <c r="C55" s="67" t="str">
        <f>Uebersetzung!D169&amp;" ("&amp;Uebersetzung!D76&amp;")"</f>
        <v>C1.1 Betriebsenergie (Wärmeerzeugung)</v>
      </c>
      <c r="D55" s="68"/>
      <c r="E55" s="69"/>
      <c r="F55" s="69"/>
      <c r="G55" s="69"/>
      <c r="H55" s="69"/>
      <c r="I55" s="69"/>
      <c r="J55" s="69"/>
      <c r="K55" s="69"/>
      <c r="L55" s="69"/>
      <c r="M55" s="69"/>
      <c r="N55" s="69"/>
      <c r="O55" s="69"/>
      <c r="P55" s="69"/>
      <c r="Q55" s="69"/>
      <c r="R55" s="69"/>
      <c r="S55" s="69"/>
      <c r="T55" s="69"/>
      <c r="U55" s="69"/>
      <c r="V55" s="69"/>
      <c r="W55" s="69"/>
      <c r="X55" s="69"/>
      <c r="Y55" s="173"/>
      <c r="Z55" s="210"/>
      <c r="AA55" s="196"/>
    </row>
    <row r="56" spans="2:27" s="4" customFormat="1" ht="18.75" customHeight="1" x14ac:dyDescent="0.25">
      <c r="C56" s="70" t="str">
        <f>Uebersetzung!D76&amp;" 1"</f>
        <v>Wärmeerzeugung 1</v>
      </c>
      <c r="D56" s="71"/>
      <c r="E56" s="49"/>
      <c r="F56" s="49"/>
      <c r="G56" s="49"/>
      <c r="H56" s="49"/>
      <c r="I56" s="49"/>
      <c r="J56" s="49"/>
      <c r="K56" s="49"/>
      <c r="L56" s="49"/>
      <c r="M56" s="49"/>
      <c r="N56" s="49"/>
      <c r="O56" s="49"/>
      <c r="P56" s="49"/>
      <c r="Q56" s="49"/>
      <c r="R56" s="49"/>
      <c r="S56" s="49"/>
      <c r="T56" s="49"/>
      <c r="U56" s="49"/>
      <c r="V56" s="49"/>
      <c r="W56" s="49"/>
      <c r="X56" s="50"/>
      <c r="Y56" s="8"/>
      <c r="Z56" s="211"/>
      <c r="AA56" s="7"/>
    </row>
    <row r="57" spans="2:27" s="4" customFormat="1" ht="18.75" customHeight="1" x14ac:dyDescent="0.25">
      <c r="C57" s="368" t="str">
        <f>Uebersetzung!D76&amp;" 2"</f>
        <v>Wärmeerzeugung 2</v>
      </c>
      <c r="D57" s="77"/>
      <c r="E57" s="394"/>
      <c r="F57" s="394"/>
      <c r="G57" s="394"/>
      <c r="H57" s="394"/>
      <c r="I57" s="394"/>
      <c r="J57" s="394"/>
      <c r="K57" s="394"/>
      <c r="L57" s="394"/>
      <c r="M57" s="394"/>
      <c r="N57" s="394"/>
      <c r="O57" s="394"/>
      <c r="P57" s="394"/>
      <c r="Q57" s="394"/>
      <c r="R57" s="394"/>
      <c r="S57" s="394"/>
      <c r="T57" s="394"/>
      <c r="U57" s="394"/>
      <c r="V57" s="394"/>
      <c r="W57" s="394"/>
      <c r="X57" s="395"/>
      <c r="Y57" s="8"/>
      <c r="Z57" s="211"/>
      <c r="AA57" s="7"/>
    </row>
    <row r="58" spans="2:27" s="4" customFormat="1" ht="18.75" customHeight="1" x14ac:dyDescent="0.25">
      <c r="C58" s="368" t="str">
        <f>Uebersetzung!D76&amp;" 3"</f>
        <v>Wärmeerzeugung 3</v>
      </c>
      <c r="D58" s="77"/>
      <c r="E58" s="394"/>
      <c r="F58" s="394"/>
      <c r="G58" s="394"/>
      <c r="H58" s="394"/>
      <c r="I58" s="394"/>
      <c r="J58" s="394"/>
      <c r="K58" s="394"/>
      <c r="L58" s="394"/>
      <c r="M58" s="394"/>
      <c r="N58" s="394"/>
      <c r="O58" s="394"/>
      <c r="P58" s="394"/>
      <c r="Q58" s="394"/>
      <c r="R58" s="394"/>
      <c r="S58" s="394"/>
      <c r="T58" s="394"/>
      <c r="U58" s="394"/>
      <c r="V58" s="394"/>
      <c r="W58" s="394"/>
      <c r="X58" s="395"/>
      <c r="Y58" s="8"/>
      <c r="Z58" s="211"/>
      <c r="AA58" s="7"/>
    </row>
    <row r="59" spans="2:27" s="4" customFormat="1" ht="18.75" customHeight="1" x14ac:dyDescent="0.25">
      <c r="C59" s="368" t="str">
        <f>Uebersetzung!D76&amp;" "&amp;Uebersetzung!D187</f>
        <v>Wärmeerzeugung Spitzenlast</v>
      </c>
      <c r="D59" s="77"/>
      <c r="E59" s="394"/>
      <c r="F59" s="394"/>
      <c r="G59" s="394"/>
      <c r="H59" s="394"/>
      <c r="I59" s="394"/>
      <c r="J59" s="394"/>
      <c r="K59" s="394"/>
      <c r="L59" s="394"/>
      <c r="M59" s="394"/>
      <c r="N59" s="394"/>
      <c r="O59" s="394"/>
      <c r="P59" s="394"/>
      <c r="Q59" s="394"/>
      <c r="R59" s="394"/>
      <c r="S59" s="394"/>
      <c r="T59" s="394"/>
      <c r="U59" s="394"/>
      <c r="V59" s="394"/>
      <c r="W59" s="394"/>
      <c r="X59" s="395"/>
      <c r="Y59" s="8"/>
      <c r="Z59" s="211"/>
      <c r="AA59" s="7"/>
    </row>
    <row r="60" spans="2:27" s="4" customFormat="1" ht="18.75" customHeight="1" x14ac:dyDescent="0.25">
      <c r="C60" s="72" t="str">
        <f>Uebersetzung!D113</f>
        <v>Fläche thermische Solarkollektoren</v>
      </c>
      <c r="D60" s="73" t="s">
        <v>4</v>
      </c>
      <c r="E60" s="51"/>
      <c r="F60" s="51"/>
      <c r="G60" s="51"/>
      <c r="H60" s="51"/>
      <c r="I60" s="51"/>
      <c r="J60" s="51"/>
      <c r="K60" s="51"/>
      <c r="L60" s="51"/>
      <c r="M60" s="51"/>
      <c r="N60" s="51"/>
      <c r="O60" s="51"/>
      <c r="P60" s="51"/>
      <c r="Q60" s="51"/>
      <c r="R60" s="51"/>
      <c r="S60" s="51"/>
      <c r="T60" s="51"/>
      <c r="U60" s="51"/>
      <c r="V60" s="51"/>
      <c r="W60" s="51"/>
      <c r="X60" s="52"/>
      <c r="Y60" s="8"/>
      <c r="Z60" s="180">
        <f>SUM(E60:X60)</f>
        <v>0</v>
      </c>
      <c r="AA60" s="179" t="str">
        <f>Uebersetzung!D$38</f>
        <v>Summe</v>
      </c>
    </row>
    <row r="61" spans="2:27" s="175" customFormat="1" ht="37.15" customHeight="1" x14ac:dyDescent="0.2">
      <c r="C61" s="433" t="str">
        <f>Uebersetzung!D23</f>
        <v>Kompensation von Kennzahlen bei Neubauten und Erneuerungen nach Minergie</v>
      </c>
      <c r="D61" s="433"/>
      <c r="E61" s="75"/>
      <c r="F61" s="75"/>
      <c r="G61" s="75"/>
      <c r="H61" s="75"/>
      <c r="I61" s="75"/>
      <c r="J61" s="75"/>
      <c r="K61" s="75"/>
      <c r="L61" s="75"/>
      <c r="M61" s="75"/>
      <c r="N61" s="75"/>
      <c r="O61" s="75"/>
      <c r="P61" s="75"/>
      <c r="Q61" s="75"/>
      <c r="R61" s="75"/>
      <c r="S61" s="75"/>
      <c r="T61" s="75"/>
      <c r="U61" s="75"/>
      <c r="V61" s="75"/>
      <c r="W61" s="75"/>
      <c r="X61" s="75"/>
      <c r="Y61" s="173"/>
      <c r="Z61" s="174"/>
      <c r="AA61" s="7"/>
    </row>
    <row r="62" spans="2:27" s="175" customFormat="1" ht="18.75" customHeight="1" x14ac:dyDescent="0.25">
      <c r="C62" s="413" t="str">
        <f>Uebersetzung!D126</f>
        <v>Werden Qh und MKZ zwischen Minergie-Gebäuden kompensiert?</v>
      </c>
      <c r="D62" s="414"/>
      <c r="E62" s="327"/>
      <c r="F62" s="327"/>
      <c r="G62" s="327"/>
      <c r="H62" s="327"/>
      <c r="I62" s="327"/>
      <c r="J62" s="327"/>
      <c r="K62" s="327"/>
      <c r="L62" s="327"/>
      <c r="M62" s="327"/>
      <c r="N62" s="327"/>
      <c r="O62" s="327"/>
      <c r="P62" s="327"/>
      <c r="Q62" s="327"/>
      <c r="R62" s="327"/>
      <c r="S62" s="327"/>
      <c r="T62" s="327"/>
      <c r="U62" s="327"/>
      <c r="V62" s="327"/>
      <c r="W62" s="327"/>
      <c r="X62" s="328"/>
      <c r="Y62" s="173"/>
      <c r="Z62" s="174"/>
      <c r="AA62" s="7"/>
    </row>
    <row r="63" spans="2:27" s="4" customFormat="1" ht="18.75" customHeight="1" x14ac:dyDescent="0.25">
      <c r="C63" s="400" t="str">
        <f>Uebersetzung!D24&amp;", "&amp;Uebersetzung!D40</f>
        <v>Minergie-Kennzahl (MKZ), Anforderung</v>
      </c>
      <c r="D63" s="183" t="s">
        <v>8</v>
      </c>
      <c r="E63" s="411"/>
      <c r="F63" s="411"/>
      <c r="G63" s="411"/>
      <c r="H63" s="411"/>
      <c r="I63" s="411"/>
      <c r="J63" s="411"/>
      <c r="K63" s="411"/>
      <c r="L63" s="411"/>
      <c r="M63" s="411"/>
      <c r="N63" s="411"/>
      <c r="O63" s="411"/>
      <c r="P63" s="411"/>
      <c r="Q63" s="411"/>
      <c r="R63" s="411"/>
      <c r="S63" s="411"/>
      <c r="T63" s="411"/>
      <c r="U63" s="411"/>
      <c r="V63" s="411"/>
      <c r="W63" s="411"/>
      <c r="X63" s="412"/>
      <c r="Y63" s="8"/>
      <c r="Z63" s="195" t="e">
        <f>SUMPRODUCT(E146:X146,E63:X63)/Z146</f>
        <v>#DIV/0!</v>
      </c>
      <c r="AA63" s="179" t="str">
        <f>Uebersetzung!D$39</f>
        <v>Flächengewichter Durchschnitt</v>
      </c>
    </row>
    <row r="64" spans="2:27" s="4" customFormat="1" ht="18.75" customHeight="1" x14ac:dyDescent="0.25">
      <c r="C64" s="72" t="str">
        <f>Uebersetzung!D24&amp;", "&amp;Uebersetzung!D41</f>
        <v>Minergie-Kennzahl (MKZ), Projektwert</v>
      </c>
      <c r="D64" s="73" t="s">
        <v>8</v>
      </c>
      <c r="E64" s="51"/>
      <c r="F64" s="51"/>
      <c r="G64" s="51"/>
      <c r="H64" s="51"/>
      <c r="I64" s="51"/>
      <c r="J64" s="51"/>
      <c r="K64" s="51"/>
      <c r="L64" s="51"/>
      <c r="M64" s="51"/>
      <c r="N64" s="51"/>
      <c r="O64" s="51"/>
      <c r="P64" s="51"/>
      <c r="Q64" s="51"/>
      <c r="R64" s="51"/>
      <c r="S64" s="51"/>
      <c r="T64" s="51"/>
      <c r="U64" s="51"/>
      <c r="V64" s="51"/>
      <c r="W64" s="51"/>
      <c r="X64" s="52"/>
      <c r="Y64" s="8"/>
      <c r="Z64" s="195" t="e">
        <f>SUMPRODUCT($E$146:$X$146,E64:X64)/Z146</f>
        <v>#DIV/0!</v>
      </c>
      <c r="AA64" s="179" t="str">
        <f>Uebersetzung!D$39</f>
        <v>Flächengewichter Durchschnitt</v>
      </c>
    </row>
    <row r="65" spans="3:27" s="4" customFormat="1" ht="18.75" customHeight="1" x14ac:dyDescent="0.25">
      <c r="C65" s="70" t="str">
        <f>Uebersetzung!D25&amp;", "&amp;Uebersetzung!D40</f>
        <v>Heizwärmebedarf (Qh), Anforderung</v>
      </c>
      <c r="D65" s="71" t="s">
        <v>8</v>
      </c>
      <c r="E65" s="49"/>
      <c r="F65" s="49"/>
      <c r="G65" s="49"/>
      <c r="H65" s="49"/>
      <c r="I65" s="49"/>
      <c r="J65" s="49"/>
      <c r="K65" s="49"/>
      <c r="L65" s="49"/>
      <c r="M65" s="49"/>
      <c r="N65" s="49"/>
      <c r="O65" s="49"/>
      <c r="P65" s="49"/>
      <c r="Q65" s="49"/>
      <c r="R65" s="49"/>
      <c r="S65" s="49"/>
      <c r="T65" s="49"/>
      <c r="U65" s="49"/>
      <c r="V65" s="49"/>
      <c r="W65" s="49"/>
      <c r="X65" s="50"/>
      <c r="Y65" s="8"/>
      <c r="Z65" s="195" t="e">
        <f>SUMPRODUCT($E$147:$X$147,E65:X65)/Z147</f>
        <v>#DIV/0!</v>
      </c>
      <c r="AA65" s="179" t="str">
        <f>Uebersetzung!D$39</f>
        <v>Flächengewichter Durchschnitt</v>
      </c>
    </row>
    <row r="66" spans="3:27" s="4" customFormat="1" ht="18.75" customHeight="1" x14ac:dyDescent="0.25">
      <c r="C66" s="72" t="str">
        <f>Uebersetzung!D25&amp;", "&amp;Uebersetzung!D41</f>
        <v>Heizwärmebedarf (Qh), Projektwert</v>
      </c>
      <c r="D66" s="73" t="s">
        <v>8</v>
      </c>
      <c r="E66" s="51"/>
      <c r="F66" s="51"/>
      <c r="G66" s="51"/>
      <c r="H66" s="51"/>
      <c r="I66" s="51"/>
      <c r="J66" s="51"/>
      <c r="K66" s="51"/>
      <c r="L66" s="51"/>
      <c r="M66" s="51"/>
      <c r="N66" s="51"/>
      <c r="O66" s="51"/>
      <c r="P66" s="51"/>
      <c r="Q66" s="51"/>
      <c r="R66" s="51"/>
      <c r="S66" s="51"/>
      <c r="T66" s="51"/>
      <c r="U66" s="51"/>
      <c r="V66" s="51"/>
      <c r="W66" s="51"/>
      <c r="X66" s="52"/>
      <c r="Y66" s="8"/>
      <c r="Z66" s="191" t="e">
        <f>SUMPRODUCT($E$147:$X$147,E66:X66)/Z147</f>
        <v>#DIV/0!</v>
      </c>
      <c r="AA66" s="182" t="str">
        <f>Uebersetzung!D$39</f>
        <v>Flächengewichter Durchschnitt</v>
      </c>
    </row>
    <row r="67" spans="3:27" s="4" customFormat="1" ht="16.5" customHeight="1" x14ac:dyDescent="0.25">
      <c r="C67" s="314"/>
      <c r="D67" s="8"/>
      <c r="E67" s="315"/>
      <c r="F67" s="315"/>
      <c r="G67" s="315"/>
      <c r="H67" s="315"/>
      <c r="I67" s="315"/>
      <c r="J67" s="315"/>
      <c r="K67" s="315"/>
      <c r="L67" s="315"/>
      <c r="M67" s="315"/>
      <c r="N67" s="315"/>
      <c r="O67" s="315"/>
      <c r="P67" s="315"/>
      <c r="Q67" s="315"/>
      <c r="R67" s="315"/>
      <c r="S67" s="315"/>
      <c r="T67" s="315"/>
      <c r="U67" s="315"/>
      <c r="V67" s="315"/>
      <c r="W67" s="315"/>
      <c r="X67" s="315"/>
      <c r="Y67" s="8"/>
      <c r="Z67" s="211"/>
      <c r="AA67" s="7"/>
    </row>
    <row r="68" spans="3:27" s="310" customFormat="1" ht="70.900000000000006" customHeight="1" x14ac:dyDescent="0.25">
      <c r="C68" s="316" t="str">
        <f>Uebersetzung!D170</f>
        <v>Kommentare / Bemerkungen</v>
      </c>
      <c r="D68" s="317"/>
      <c r="E68" s="311"/>
      <c r="F68" s="311"/>
      <c r="G68" s="311"/>
      <c r="H68" s="311"/>
      <c r="I68" s="311"/>
      <c r="J68" s="311"/>
      <c r="K68" s="311"/>
      <c r="L68" s="311"/>
      <c r="M68" s="311"/>
      <c r="N68" s="311"/>
      <c r="O68" s="311"/>
      <c r="P68" s="311"/>
      <c r="Q68" s="311"/>
      <c r="R68" s="311"/>
      <c r="S68" s="311"/>
      <c r="T68" s="311"/>
      <c r="U68" s="311"/>
      <c r="V68" s="311"/>
      <c r="W68" s="311"/>
      <c r="X68" s="312"/>
      <c r="Z68" s="313"/>
    </row>
    <row r="69" spans="3:27" s="93" customFormat="1" ht="28.5" customHeight="1" x14ac:dyDescent="0.25">
      <c r="C69" s="94"/>
      <c r="D69" s="95"/>
      <c r="E69" s="89"/>
      <c r="F69" s="89"/>
      <c r="G69" s="89"/>
      <c r="H69" s="89"/>
      <c r="I69" s="89"/>
      <c r="J69" s="89"/>
      <c r="K69" s="89"/>
      <c r="L69" s="89"/>
      <c r="M69" s="89"/>
      <c r="N69" s="89"/>
      <c r="O69" s="89"/>
      <c r="P69" s="89"/>
      <c r="Q69" s="89"/>
      <c r="R69" s="89"/>
      <c r="S69" s="89"/>
      <c r="T69" s="89"/>
      <c r="U69" s="89"/>
      <c r="V69" s="89"/>
      <c r="W69" s="89"/>
      <c r="X69" s="89"/>
      <c r="Y69" s="95"/>
      <c r="Z69" s="96"/>
      <c r="AA69" s="97"/>
    </row>
    <row r="70" spans="3:27" s="93" customFormat="1" ht="23.65" hidden="1" customHeight="1" x14ac:dyDescent="0.25">
      <c r="C70" s="98" t="str">
        <f>Uebersetzung!D158</f>
        <v>Berechnungen</v>
      </c>
      <c r="D70" s="99"/>
      <c r="E70" s="100"/>
      <c r="F70" s="100"/>
      <c r="G70" s="100"/>
      <c r="H70" s="100"/>
      <c r="I70" s="100"/>
      <c r="J70" s="100"/>
      <c r="K70" s="100"/>
      <c r="L70" s="100"/>
      <c r="M70" s="100"/>
      <c r="N70" s="100"/>
      <c r="O70" s="100"/>
      <c r="P70" s="100"/>
      <c r="Q70" s="100"/>
      <c r="R70" s="100"/>
      <c r="S70" s="100"/>
      <c r="T70" s="100"/>
      <c r="U70" s="100"/>
      <c r="V70" s="100"/>
      <c r="W70" s="100"/>
      <c r="X70" s="100"/>
      <c r="Y70" s="95"/>
      <c r="Z70" s="96"/>
      <c r="AA70" s="97"/>
    </row>
    <row r="71" spans="3:27" s="93" customFormat="1" ht="24.4" hidden="1" customHeight="1" x14ac:dyDescent="0.2">
      <c r="C71" s="101" t="str">
        <f>Uebersetzung!$D$159&amp;" "&amp;Uebersetzung!D$64</f>
        <v>EBF Neubau / Erneuerung nach Minergie</v>
      </c>
      <c r="D71" s="95"/>
      <c r="E71" s="89"/>
      <c r="F71" s="89"/>
      <c r="G71" s="89"/>
      <c r="H71" s="89"/>
      <c r="I71" s="89"/>
      <c r="J71" s="89"/>
      <c r="K71" s="89"/>
      <c r="L71" s="89"/>
      <c r="M71" s="89"/>
      <c r="N71" s="89"/>
      <c r="O71" s="89"/>
      <c r="P71" s="89"/>
      <c r="Q71" s="89"/>
      <c r="R71" s="89"/>
      <c r="S71" s="89"/>
      <c r="T71" s="89"/>
      <c r="U71" s="89"/>
      <c r="V71" s="89"/>
      <c r="W71" s="89"/>
      <c r="X71" s="89"/>
      <c r="Y71" s="95"/>
      <c r="Z71" s="96"/>
      <c r="AA71" s="97"/>
    </row>
    <row r="72" spans="3:27" s="93" customFormat="1" hidden="1" x14ac:dyDescent="0.25">
      <c r="C72" s="102" t="str">
        <f>Uebersetzung!$D$56&amp;" "&amp;1</f>
        <v>Zone 1</v>
      </c>
      <c r="D72" s="103" t="s">
        <v>142</v>
      </c>
      <c r="E72" s="79">
        <f>E26</f>
        <v>0</v>
      </c>
      <c r="F72" s="79">
        <f t="shared" ref="F72:X72" si="101">F26</f>
        <v>0</v>
      </c>
      <c r="G72" s="78">
        <f t="shared" si="101"/>
        <v>0</v>
      </c>
      <c r="H72" s="78">
        <f t="shared" si="101"/>
        <v>0</v>
      </c>
      <c r="I72" s="78">
        <f t="shared" si="101"/>
        <v>0</v>
      </c>
      <c r="J72" s="78">
        <f t="shared" si="101"/>
        <v>0</v>
      </c>
      <c r="K72" s="78">
        <f t="shared" si="101"/>
        <v>0</v>
      </c>
      <c r="L72" s="78">
        <f t="shared" si="101"/>
        <v>0</v>
      </c>
      <c r="M72" s="78">
        <f t="shared" si="101"/>
        <v>0</v>
      </c>
      <c r="N72" s="78">
        <f t="shared" si="101"/>
        <v>0</v>
      </c>
      <c r="O72" s="78">
        <f t="shared" si="101"/>
        <v>0</v>
      </c>
      <c r="P72" s="78">
        <f t="shared" si="101"/>
        <v>0</v>
      </c>
      <c r="Q72" s="78">
        <f t="shared" si="101"/>
        <v>0</v>
      </c>
      <c r="R72" s="78">
        <f t="shared" si="101"/>
        <v>0</v>
      </c>
      <c r="S72" s="78">
        <f t="shared" si="101"/>
        <v>0</v>
      </c>
      <c r="T72" s="78">
        <f t="shared" si="101"/>
        <v>0</v>
      </c>
      <c r="U72" s="78">
        <f t="shared" si="101"/>
        <v>0</v>
      </c>
      <c r="V72" s="78">
        <f t="shared" si="101"/>
        <v>0</v>
      </c>
      <c r="W72" s="78">
        <f t="shared" si="101"/>
        <v>0</v>
      </c>
      <c r="X72" s="104">
        <f t="shared" si="101"/>
        <v>0</v>
      </c>
      <c r="Y72" s="95"/>
      <c r="Z72" s="96"/>
      <c r="AA72" s="97"/>
    </row>
    <row r="73" spans="3:27" s="93" customFormat="1" hidden="1" x14ac:dyDescent="0.25">
      <c r="C73" s="105" t="str">
        <f>Uebersetzung!$D$56&amp;" "&amp;2</f>
        <v>Zone 2</v>
      </c>
      <c r="D73" s="106" t="s">
        <v>142</v>
      </c>
      <c r="E73" s="87">
        <f>E29</f>
        <v>0</v>
      </c>
      <c r="F73" s="87">
        <f t="shared" ref="F73:X73" si="102">F29</f>
        <v>0</v>
      </c>
      <c r="G73" s="107">
        <f t="shared" si="102"/>
        <v>0</v>
      </c>
      <c r="H73" s="107">
        <f t="shared" si="102"/>
        <v>0</v>
      </c>
      <c r="I73" s="107">
        <f t="shared" si="102"/>
        <v>0</v>
      </c>
      <c r="J73" s="107">
        <f t="shared" si="102"/>
        <v>0</v>
      </c>
      <c r="K73" s="107">
        <f t="shared" si="102"/>
        <v>0</v>
      </c>
      <c r="L73" s="107">
        <f t="shared" si="102"/>
        <v>0</v>
      </c>
      <c r="M73" s="107">
        <f t="shared" si="102"/>
        <v>0</v>
      </c>
      <c r="N73" s="107">
        <f t="shared" si="102"/>
        <v>0</v>
      </c>
      <c r="O73" s="107">
        <f t="shared" si="102"/>
        <v>0</v>
      </c>
      <c r="P73" s="107">
        <f t="shared" si="102"/>
        <v>0</v>
      </c>
      <c r="Q73" s="107">
        <f t="shared" si="102"/>
        <v>0</v>
      </c>
      <c r="R73" s="107">
        <f t="shared" si="102"/>
        <v>0</v>
      </c>
      <c r="S73" s="107">
        <f t="shared" si="102"/>
        <v>0</v>
      </c>
      <c r="T73" s="107">
        <f t="shared" si="102"/>
        <v>0</v>
      </c>
      <c r="U73" s="107">
        <f t="shared" si="102"/>
        <v>0</v>
      </c>
      <c r="V73" s="107">
        <f t="shared" si="102"/>
        <v>0</v>
      </c>
      <c r="W73" s="107">
        <f t="shared" si="102"/>
        <v>0</v>
      </c>
      <c r="X73" s="108">
        <f t="shared" si="102"/>
        <v>0</v>
      </c>
      <c r="Y73" s="95"/>
      <c r="Z73" s="96"/>
      <c r="AA73" s="97"/>
    </row>
    <row r="74" spans="3:27" s="93" customFormat="1" hidden="1" x14ac:dyDescent="0.25">
      <c r="C74" s="105" t="str">
        <f>Uebersetzung!$D$56&amp;" "&amp;3</f>
        <v>Zone 3</v>
      </c>
      <c r="D74" s="106" t="s">
        <v>142</v>
      </c>
      <c r="E74" s="87">
        <f>E32</f>
        <v>0</v>
      </c>
      <c r="F74" s="87">
        <f t="shared" ref="F74:X74" si="103">F32</f>
        <v>0</v>
      </c>
      <c r="G74" s="107">
        <f t="shared" si="103"/>
        <v>0</v>
      </c>
      <c r="H74" s="107">
        <f t="shared" si="103"/>
        <v>0</v>
      </c>
      <c r="I74" s="107">
        <f t="shared" si="103"/>
        <v>0</v>
      </c>
      <c r="J74" s="107">
        <f t="shared" si="103"/>
        <v>0</v>
      </c>
      <c r="K74" s="107">
        <f t="shared" si="103"/>
        <v>0</v>
      </c>
      <c r="L74" s="107">
        <f t="shared" si="103"/>
        <v>0</v>
      </c>
      <c r="M74" s="107">
        <f t="shared" si="103"/>
        <v>0</v>
      </c>
      <c r="N74" s="107">
        <f t="shared" si="103"/>
        <v>0</v>
      </c>
      <c r="O74" s="107">
        <f t="shared" si="103"/>
        <v>0</v>
      </c>
      <c r="P74" s="107">
        <f t="shared" si="103"/>
        <v>0</v>
      </c>
      <c r="Q74" s="107">
        <f t="shared" si="103"/>
        <v>0</v>
      </c>
      <c r="R74" s="107">
        <f t="shared" si="103"/>
        <v>0</v>
      </c>
      <c r="S74" s="107">
        <f t="shared" si="103"/>
        <v>0</v>
      </c>
      <c r="T74" s="107">
        <f t="shared" si="103"/>
        <v>0</v>
      </c>
      <c r="U74" s="107">
        <f t="shared" si="103"/>
        <v>0</v>
      </c>
      <c r="V74" s="107">
        <f t="shared" si="103"/>
        <v>0</v>
      </c>
      <c r="W74" s="107">
        <f t="shared" si="103"/>
        <v>0</v>
      </c>
      <c r="X74" s="108">
        <f t="shared" si="103"/>
        <v>0</v>
      </c>
      <c r="Y74" s="95"/>
      <c r="Z74" s="96"/>
      <c r="AA74" s="97"/>
    </row>
    <row r="75" spans="3:27" s="93" customFormat="1" hidden="1" x14ac:dyDescent="0.25">
      <c r="C75" s="105" t="str">
        <f>Uebersetzung!$D$56&amp;" "&amp;4</f>
        <v>Zone 4</v>
      </c>
      <c r="D75" s="106" t="s">
        <v>142</v>
      </c>
      <c r="E75" s="87">
        <f>E35</f>
        <v>0</v>
      </c>
      <c r="F75" s="87">
        <f t="shared" ref="F75:X75" si="104">F35</f>
        <v>0</v>
      </c>
      <c r="G75" s="107">
        <f t="shared" si="104"/>
        <v>0</v>
      </c>
      <c r="H75" s="107">
        <f t="shared" si="104"/>
        <v>0</v>
      </c>
      <c r="I75" s="107">
        <f t="shared" si="104"/>
        <v>0</v>
      </c>
      <c r="J75" s="107">
        <f t="shared" si="104"/>
        <v>0</v>
      </c>
      <c r="K75" s="107">
        <f t="shared" si="104"/>
        <v>0</v>
      </c>
      <c r="L75" s="107">
        <f t="shared" si="104"/>
        <v>0</v>
      </c>
      <c r="M75" s="107">
        <f t="shared" si="104"/>
        <v>0</v>
      </c>
      <c r="N75" s="107">
        <f t="shared" si="104"/>
        <v>0</v>
      </c>
      <c r="O75" s="107">
        <f t="shared" si="104"/>
        <v>0</v>
      </c>
      <c r="P75" s="107">
        <f t="shared" si="104"/>
        <v>0</v>
      </c>
      <c r="Q75" s="107">
        <f t="shared" si="104"/>
        <v>0</v>
      </c>
      <c r="R75" s="107">
        <f t="shared" si="104"/>
        <v>0</v>
      </c>
      <c r="S75" s="107">
        <f t="shared" si="104"/>
        <v>0</v>
      </c>
      <c r="T75" s="107">
        <f t="shared" si="104"/>
        <v>0</v>
      </c>
      <c r="U75" s="107">
        <f t="shared" si="104"/>
        <v>0</v>
      </c>
      <c r="V75" s="107">
        <f t="shared" si="104"/>
        <v>0</v>
      </c>
      <c r="W75" s="107">
        <f t="shared" si="104"/>
        <v>0</v>
      </c>
      <c r="X75" s="108">
        <f t="shared" si="104"/>
        <v>0</v>
      </c>
      <c r="Y75" s="95"/>
      <c r="Z75" s="96"/>
      <c r="AA75" s="97"/>
    </row>
    <row r="76" spans="3:27" s="93" customFormat="1" hidden="1" x14ac:dyDescent="0.25">
      <c r="C76" s="105" t="str">
        <f>Uebersetzung!$D$56&amp;" "&amp;5</f>
        <v>Zone 5</v>
      </c>
      <c r="D76" s="106" t="s">
        <v>142</v>
      </c>
      <c r="E76" s="87">
        <f>E38</f>
        <v>0</v>
      </c>
      <c r="F76" s="87">
        <f t="shared" ref="F76:X76" si="105">F38</f>
        <v>0</v>
      </c>
      <c r="G76" s="107">
        <f t="shared" si="105"/>
        <v>0</v>
      </c>
      <c r="H76" s="107">
        <f t="shared" si="105"/>
        <v>0</v>
      </c>
      <c r="I76" s="107">
        <f t="shared" si="105"/>
        <v>0</v>
      </c>
      <c r="J76" s="107">
        <f t="shared" si="105"/>
        <v>0</v>
      </c>
      <c r="K76" s="107">
        <f t="shared" si="105"/>
        <v>0</v>
      </c>
      <c r="L76" s="107">
        <f t="shared" si="105"/>
        <v>0</v>
      </c>
      <c r="M76" s="107">
        <f t="shared" si="105"/>
        <v>0</v>
      </c>
      <c r="N76" s="107">
        <f t="shared" si="105"/>
        <v>0</v>
      </c>
      <c r="O76" s="107">
        <f t="shared" si="105"/>
        <v>0</v>
      </c>
      <c r="P76" s="107">
        <f t="shared" si="105"/>
        <v>0</v>
      </c>
      <c r="Q76" s="107">
        <f t="shared" si="105"/>
        <v>0</v>
      </c>
      <c r="R76" s="107">
        <f t="shared" si="105"/>
        <v>0</v>
      </c>
      <c r="S76" s="107">
        <f t="shared" si="105"/>
        <v>0</v>
      </c>
      <c r="T76" s="107">
        <f t="shared" si="105"/>
        <v>0</v>
      </c>
      <c r="U76" s="107">
        <f t="shared" si="105"/>
        <v>0</v>
      </c>
      <c r="V76" s="107">
        <f t="shared" si="105"/>
        <v>0</v>
      </c>
      <c r="W76" s="107">
        <f t="shared" si="105"/>
        <v>0</v>
      </c>
      <c r="X76" s="108">
        <f t="shared" si="105"/>
        <v>0</v>
      </c>
      <c r="Y76" s="95"/>
      <c r="Z76" s="96"/>
      <c r="AA76" s="97"/>
    </row>
    <row r="77" spans="3:27" s="93" customFormat="1" hidden="1" x14ac:dyDescent="0.25">
      <c r="C77" s="105" t="str">
        <f>Uebersetzung!$D$56&amp;" "&amp;6</f>
        <v>Zone 6</v>
      </c>
      <c r="D77" s="106" t="s">
        <v>142</v>
      </c>
      <c r="E77" s="87">
        <f>E41</f>
        <v>0</v>
      </c>
      <c r="F77" s="87">
        <f t="shared" ref="F77:X77" si="106">F41</f>
        <v>0</v>
      </c>
      <c r="G77" s="107">
        <f t="shared" si="106"/>
        <v>0</v>
      </c>
      <c r="H77" s="107">
        <f t="shared" si="106"/>
        <v>0</v>
      </c>
      <c r="I77" s="107">
        <f t="shared" si="106"/>
        <v>0</v>
      </c>
      <c r="J77" s="107">
        <f t="shared" si="106"/>
        <v>0</v>
      </c>
      <c r="K77" s="107">
        <f t="shared" si="106"/>
        <v>0</v>
      </c>
      <c r="L77" s="107">
        <f t="shared" si="106"/>
        <v>0</v>
      </c>
      <c r="M77" s="107">
        <f t="shared" si="106"/>
        <v>0</v>
      </c>
      <c r="N77" s="107">
        <f t="shared" si="106"/>
        <v>0</v>
      </c>
      <c r="O77" s="107">
        <f t="shared" si="106"/>
        <v>0</v>
      </c>
      <c r="P77" s="107">
        <f t="shared" si="106"/>
        <v>0</v>
      </c>
      <c r="Q77" s="107">
        <f t="shared" si="106"/>
        <v>0</v>
      </c>
      <c r="R77" s="107">
        <f t="shared" si="106"/>
        <v>0</v>
      </c>
      <c r="S77" s="107">
        <f t="shared" si="106"/>
        <v>0</v>
      </c>
      <c r="T77" s="107">
        <f t="shared" si="106"/>
        <v>0</v>
      </c>
      <c r="U77" s="107">
        <f t="shared" si="106"/>
        <v>0</v>
      </c>
      <c r="V77" s="107">
        <f t="shared" si="106"/>
        <v>0</v>
      </c>
      <c r="W77" s="107">
        <f t="shared" si="106"/>
        <v>0</v>
      </c>
      <c r="X77" s="108">
        <f t="shared" si="106"/>
        <v>0</v>
      </c>
      <c r="Y77" s="95"/>
      <c r="Z77" s="96"/>
      <c r="AA77" s="97"/>
    </row>
    <row r="78" spans="3:27" s="93" customFormat="1" hidden="1" x14ac:dyDescent="0.25">
      <c r="C78" s="109" t="str">
        <f>Uebersetzung!$D$159&amp;" "&amp;Uebersetzung!D118</f>
        <v>EBF total</v>
      </c>
      <c r="D78" s="110" t="s">
        <v>142</v>
      </c>
      <c r="E78" s="88">
        <f>SUM(E72:E77)</f>
        <v>0</v>
      </c>
      <c r="F78" s="111">
        <f t="shared" ref="F78:X78" si="107">SUM(F72:F77)</f>
        <v>0</v>
      </c>
      <c r="G78" s="111">
        <f t="shared" si="107"/>
        <v>0</v>
      </c>
      <c r="H78" s="111">
        <f t="shared" si="107"/>
        <v>0</v>
      </c>
      <c r="I78" s="111">
        <f t="shared" si="107"/>
        <v>0</v>
      </c>
      <c r="J78" s="111">
        <f t="shared" si="107"/>
        <v>0</v>
      </c>
      <c r="K78" s="111">
        <f t="shared" si="107"/>
        <v>0</v>
      </c>
      <c r="L78" s="111">
        <f t="shared" si="107"/>
        <v>0</v>
      </c>
      <c r="M78" s="111">
        <f t="shared" si="107"/>
        <v>0</v>
      </c>
      <c r="N78" s="111">
        <f t="shared" si="107"/>
        <v>0</v>
      </c>
      <c r="O78" s="111">
        <f t="shared" si="107"/>
        <v>0</v>
      </c>
      <c r="P78" s="111">
        <f t="shared" si="107"/>
        <v>0</v>
      </c>
      <c r="Q78" s="111">
        <f t="shared" si="107"/>
        <v>0</v>
      </c>
      <c r="R78" s="111">
        <f t="shared" si="107"/>
        <v>0</v>
      </c>
      <c r="S78" s="111">
        <f t="shared" si="107"/>
        <v>0</v>
      </c>
      <c r="T78" s="111">
        <f t="shared" si="107"/>
        <v>0</v>
      </c>
      <c r="U78" s="111">
        <f t="shared" si="107"/>
        <v>0</v>
      </c>
      <c r="V78" s="111">
        <f t="shared" si="107"/>
        <v>0</v>
      </c>
      <c r="W78" s="111">
        <f t="shared" si="107"/>
        <v>0</v>
      </c>
      <c r="X78" s="112">
        <f t="shared" si="107"/>
        <v>0</v>
      </c>
      <c r="Y78" s="95"/>
      <c r="Z78" s="113">
        <f>SUM(E78:X78)</f>
        <v>0</v>
      </c>
      <c r="AA78" s="114" t="str">
        <f>Uebersetzung!D$38</f>
        <v>Summe</v>
      </c>
    </row>
    <row r="79" spans="3:27" s="93" customFormat="1" ht="30" hidden="1" customHeight="1" x14ac:dyDescent="0.2">
      <c r="C79" s="101" t="str">
        <f>Uebersetzung!D27&amp;" "&amp;Uebersetzung!D40</f>
        <v>Eigenstromerzeugung Anforderung</v>
      </c>
      <c r="D79" s="95"/>
      <c r="E79" s="89"/>
      <c r="F79" s="89"/>
      <c r="G79" s="89"/>
      <c r="H79" s="89"/>
      <c r="I79" s="89"/>
      <c r="J79" s="89"/>
      <c r="K79" s="89"/>
      <c r="L79" s="89"/>
      <c r="M79" s="89"/>
      <c r="N79" s="89"/>
      <c r="O79" s="89"/>
      <c r="P79" s="89"/>
      <c r="Q79" s="89"/>
      <c r="R79" s="89"/>
      <c r="S79" s="89"/>
      <c r="T79" s="89"/>
      <c r="U79" s="89"/>
      <c r="V79" s="89"/>
      <c r="W79" s="89"/>
      <c r="X79" s="89"/>
      <c r="Y79" s="95"/>
      <c r="Z79" s="96"/>
      <c r="AA79" s="97"/>
    </row>
    <row r="80" spans="3:27" s="93" customFormat="1" ht="24" hidden="1" x14ac:dyDescent="0.25">
      <c r="C80" s="102" t="str">
        <f>Uebersetzung!D143&amp;" / "&amp;Uebersetzung!D67</f>
        <v>Systemerneuerung nach Minergie / Bestandesbau mit Ausnahmeregelung</v>
      </c>
      <c r="D80" s="103" t="s">
        <v>10</v>
      </c>
      <c r="E80" s="79">
        <f>IF(AND(E15=BestAusnahme,E43=PV_nicht_zugelassen),0,E14*IFERROR(VLOOKUP(E15,Listen!$B$60:$C$61,2,0),0))</f>
        <v>0</v>
      </c>
      <c r="F80" s="78">
        <f>IF(AND(F15=BestAusnahme,F43=PV_nicht_zugelassen),0,F14*IFERROR(VLOOKUP(F15,Listen!$B$60:$C$61,2,0),0))</f>
        <v>0</v>
      </c>
      <c r="G80" s="78">
        <f>IF(AND(G15=BestAusnahme,G43=PV_nicht_zugelassen),0,G14*IFERROR(VLOOKUP(G15,Listen!$B$60:$C$61,2,0),0))</f>
        <v>0</v>
      </c>
      <c r="H80" s="78">
        <f>IF(AND(H15=BestAusnahme,H43=PV_nicht_zugelassen),0,H14*IFERROR(VLOOKUP(H15,Listen!$B$60:$C$61,2,0),0))</f>
        <v>0</v>
      </c>
      <c r="I80" s="78">
        <f>IF(AND(I15=BestAusnahme,I43=PV_nicht_zugelassen),0,I14*IFERROR(VLOOKUP(I15,Listen!$B$60:$C$61,2,0),0))</f>
        <v>0</v>
      </c>
      <c r="J80" s="78">
        <f>IF(AND(J15=BestAusnahme,J43=PV_nicht_zugelassen),0,J14*IFERROR(VLOOKUP(J15,Listen!$B$60:$C$61,2,0),0))</f>
        <v>0</v>
      </c>
      <c r="K80" s="78">
        <f>IF(AND(K15=BestAusnahme,K43=PV_nicht_zugelassen),0,K14*IFERROR(VLOOKUP(K15,Listen!$B$60:$C$61,2,0),0))</f>
        <v>0</v>
      </c>
      <c r="L80" s="78">
        <f>IF(AND(L15=BestAusnahme,L43=PV_nicht_zugelassen),0,L14*IFERROR(VLOOKUP(L15,Listen!$B$60:$C$61,2,0),0))</f>
        <v>0</v>
      </c>
      <c r="M80" s="78">
        <f>IF(AND(M15=BestAusnahme,M43=PV_nicht_zugelassen),0,M14*IFERROR(VLOOKUP(M15,Listen!$B$60:$C$61,2,0),0))</f>
        <v>0</v>
      </c>
      <c r="N80" s="78">
        <f>IF(AND(N15=BestAusnahme,N43=PV_nicht_zugelassen),0,N14*IFERROR(VLOOKUP(N15,Listen!$B$60:$C$61,2,0),0))</f>
        <v>0</v>
      </c>
      <c r="O80" s="78">
        <f>IF(AND(O15=BestAusnahme,O43=PV_nicht_zugelassen),0,O14*IFERROR(VLOOKUP(O15,Listen!$B$60:$C$61,2,0),0))</f>
        <v>0</v>
      </c>
      <c r="P80" s="78">
        <f>IF(AND(P15=BestAusnahme,P43=PV_nicht_zugelassen),0,P14*IFERROR(VLOOKUP(P15,Listen!$B$60:$C$61,2,0),0))</f>
        <v>0</v>
      </c>
      <c r="Q80" s="78">
        <f>IF(AND(Q15=BestAusnahme,Q43=PV_nicht_zugelassen),0,Q14*IFERROR(VLOOKUP(Q15,Listen!$B$60:$C$61,2,0),0))</f>
        <v>0</v>
      </c>
      <c r="R80" s="78">
        <f>IF(AND(R15=BestAusnahme,R43=PV_nicht_zugelassen),0,R14*IFERROR(VLOOKUP(R15,Listen!$B$60:$C$61,2,0),0))</f>
        <v>0</v>
      </c>
      <c r="S80" s="78">
        <f>IF(AND(S15=BestAusnahme,S43=PV_nicht_zugelassen),0,S14*IFERROR(VLOOKUP(S15,Listen!$B$60:$C$61,2,0),0))</f>
        <v>0</v>
      </c>
      <c r="T80" s="78">
        <f>IF(AND(T15=BestAusnahme,T43=PV_nicht_zugelassen),0,T14*IFERROR(VLOOKUP(T15,Listen!$B$60:$C$61,2,0),0))</f>
        <v>0</v>
      </c>
      <c r="U80" s="78">
        <f>IF(AND(U15=BestAusnahme,U43=PV_nicht_zugelassen),0,U14*IFERROR(VLOOKUP(U15,Listen!$B$60:$C$61,2,0),0))</f>
        <v>0</v>
      </c>
      <c r="V80" s="78">
        <f>IF(AND(V15=BestAusnahme,V43=PV_nicht_zugelassen),0,V14*IFERROR(VLOOKUP(V15,Listen!$B$60:$C$61,2,0),0))</f>
        <v>0</v>
      </c>
      <c r="W80" s="78">
        <f>IF(AND(W15=BestAusnahme,W43=PV_nicht_zugelassen),0,W14*IFERROR(VLOOKUP(W15,Listen!$B$60:$C$61,2,0),0))</f>
        <v>0</v>
      </c>
      <c r="X80" s="104">
        <f>IF(AND(X15=BestAusnahme,X43=PV_nicht_zugelassen),0,X14*IFERROR(VLOOKUP(X15,Listen!$B$60:$C$61,2,0),0))</f>
        <v>0</v>
      </c>
      <c r="Y80" s="95"/>
      <c r="Z80" s="115"/>
      <c r="AA80" s="97"/>
    </row>
    <row r="81" spans="3:27" s="93" customFormat="1" hidden="1" x14ac:dyDescent="0.25">
      <c r="C81" s="116" t="str">
        <f>Uebersetzung!D$64</f>
        <v>Neubau / Erneuerung nach Minergie</v>
      </c>
      <c r="D81" s="117" t="s">
        <v>10</v>
      </c>
      <c r="E81" s="80">
        <f>IF(ISBLANK(E22),0,E78*VLOOKUP(E22,Listen!$B$57:$C$58,2,0))</f>
        <v>0</v>
      </c>
      <c r="F81" s="205">
        <f>IF(ISBLANK(F22),0,F78*VLOOKUP(F22,Listen!$B$57:$C$58,2,0))</f>
        <v>0</v>
      </c>
      <c r="G81" s="205">
        <f>IF(ISBLANK(G22),0,G78*VLOOKUP(G22,Listen!$B$57:$C$58,2,0))</f>
        <v>0</v>
      </c>
      <c r="H81" s="205">
        <f>IF(ISBLANK(H22),0,H78*VLOOKUP(H22,Listen!$B$57:$C$58,2,0))</f>
        <v>0</v>
      </c>
      <c r="I81" s="205">
        <f>IF(ISBLANK(I22),0,I78*VLOOKUP(I22,Listen!$B$57:$C$58,2,0))</f>
        <v>0</v>
      </c>
      <c r="J81" s="205">
        <f>IF(ISBLANK(J22),0,J78*VLOOKUP(J22,Listen!$B$57:$C$58,2,0))</f>
        <v>0</v>
      </c>
      <c r="K81" s="205">
        <f>IF(ISBLANK(K22),0,K78*VLOOKUP(K22,Listen!$B$57:$C$58,2,0))</f>
        <v>0</v>
      </c>
      <c r="L81" s="205">
        <f>IF(ISBLANK(L22),0,L78*VLOOKUP(L22,Listen!$B$57:$C$58,2,0))</f>
        <v>0</v>
      </c>
      <c r="M81" s="205">
        <f>IF(ISBLANK(M22),0,M78*VLOOKUP(M22,Listen!$B$57:$C$58,2,0))</f>
        <v>0</v>
      </c>
      <c r="N81" s="205">
        <f>IF(ISBLANK(N22),0,N78*VLOOKUP(N22,Listen!$B$57:$C$58,2,0))</f>
        <v>0</v>
      </c>
      <c r="O81" s="205">
        <f>IF(ISBLANK(O22),0,O78*VLOOKUP(O22,Listen!$B$57:$C$58,2,0))</f>
        <v>0</v>
      </c>
      <c r="P81" s="205">
        <f>IF(ISBLANK(P22),0,P78*VLOOKUP(P22,Listen!$B$57:$C$58,2,0))</f>
        <v>0</v>
      </c>
      <c r="Q81" s="205">
        <f>IF(ISBLANK(Q22),0,Q78*VLOOKUP(Q22,Listen!$B$57:$C$58,2,0))</f>
        <v>0</v>
      </c>
      <c r="R81" s="205">
        <f>IF(ISBLANK(R22),0,R78*VLOOKUP(R22,Listen!$B$57:$C$58,2,0))</f>
        <v>0</v>
      </c>
      <c r="S81" s="205">
        <f>IF(ISBLANK(S22),0,S78*VLOOKUP(S22,Listen!$B$57:$C$58,2,0))</f>
        <v>0</v>
      </c>
      <c r="T81" s="205">
        <f>IF(ISBLANK(T22),0,T78*VLOOKUP(T22,Listen!$B$57:$C$58,2,0))</f>
        <v>0</v>
      </c>
      <c r="U81" s="205">
        <f>IF(ISBLANK(U22),0,U78*VLOOKUP(U22,Listen!$B$57:$C$58,2,0))</f>
        <v>0</v>
      </c>
      <c r="V81" s="205">
        <f>IF(ISBLANK(V22),0,V78*VLOOKUP(V22,Listen!$B$57:$C$58,2,0))</f>
        <v>0</v>
      </c>
      <c r="W81" s="205">
        <f>IF(ISBLANK(W22),0,W78*VLOOKUP(W22,Listen!$B$57:$C$58,2,0))</f>
        <v>0</v>
      </c>
      <c r="X81" s="206">
        <f>IF(ISBLANK(X22),0,X78*VLOOKUP(X22,Listen!$B$57:$C$58,2,0))</f>
        <v>0</v>
      </c>
      <c r="Y81" s="95"/>
      <c r="Z81" s="96"/>
      <c r="AA81" s="97"/>
    </row>
    <row r="82" spans="3:27" s="93" customFormat="1" ht="12.75" hidden="1" thickBot="1" x14ac:dyDescent="0.3">
      <c r="C82" s="94"/>
      <c r="D82" s="95"/>
      <c r="E82" s="92"/>
      <c r="F82" s="118"/>
      <c r="G82" s="118"/>
      <c r="H82" s="118"/>
      <c r="I82" s="118"/>
      <c r="J82" s="118"/>
      <c r="K82" s="118"/>
      <c r="L82" s="118"/>
      <c r="M82" s="118"/>
      <c r="N82" s="118"/>
      <c r="O82" s="118"/>
      <c r="P82" s="118"/>
      <c r="Q82" s="118"/>
      <c r="R82" s="118"/>
      <c r="S82" s="118"/>
      <c r="T82" s="118"/>
      <c r="U82" s="118"/>
      <c r="V82" s="118"/>
      <c r="W82" s="118"/>
      <c r="X82" s="118"/>
      <c r="Y82" s="95"/>
      <c r="Z82" s="115"/>
      <c r="AA82" s="97"/>
    </row>
    <row r="83" spans="3:27" s="93" customFormat="1" ht="31.5" hidden="1" customHeight="1" thickTop="1" x14ac:dyDescent="0.2">
      <c r="C83" s="119" t="str">
        <f>Uebersetzung!$D$26&amp;" "&amp;Uebersetzung!D40</f>
        <v>THGE Erstellung Anforderung</v>
      </c>
      <c r="D83" s="120"/>
      <c r="E83" s="91"/>
      <c r="F83" s="91"/>
      <c r="G83" s="91"/>
      <c r="H83" s="91"/>
      <c r="I83" s="91"/>
      <c r="J83" s="91"/>
      <c r="K83" s="91"/>
      <c r="L83" s="91"/>
      <c r="M83" s="91"/>
      <c r="N83" s="91"/>
      <c r="O83" s="91"/>
      <c r="P83" s="91"/>
      <c r="Q83" s="91"/>
      <c r="R83" s="91"/>
      <c r="S83" s="91"/>
      <c r="T83" s="91"/>
      <c r="U83" s="91"/>
      <c r="V83" s="91"/>
      <c r="W83" s="91"/>
      <c r="X83" s="121"/>
      <c r="Y83" s="95"/>
      <c r="Z83" s="96"/>
      <c r="AA83" s="97"/>
    </row>
    <row r="84" spans="3:27" s="93" customFormat="1" ht="19.149999999999999" hidden="1" customHeight="1" x14ac:dyDescent="0.2">
      <c r="C84" s="122" t="str">
        <f>Uebersetzung!$D$159&amp;" "&amp;Uebersetzung!$D$109</f>
        <v>EBF Neubau</v>
      </c>
      <c r="D84" s="95" t="str">
        <f>Uebersetzung!D109</f>
        <v>Neubau</v>
      </c>
      <c r="E84" s="203">
        <f t="shared" ref="E84:X84" si="108">IF(E22=NeubauJa,1,0)</f>
        <v>0</v>
      </c>
      <c r="F84" s="203">
        <f t="shared" si="108"/>
        <v>0</v>
      </c>
      <c r="G84" s="203">
        <f t="shared" si="108"/>
        <v>0</v>
      </c>
      <c r="H84" s="203">
        <f t="shared" si="108"/>
        <v>0</v>
      </c>
      <c r="I84" s="203">
        <f t="shared" si="108"/>
        <v>0</v>
      </c>
      <c r="J84" s="203">
        <f t="shared" si="108"/>
        <v>0</v>
      </c>
      <c r="K84" s="203">
        <f t="shared" si="108"/>
        <v>0</v>
      </c>
      <c r="L84" s="203">
        <f t="shared" si="108"/>
        <v>0</v>
      </c>
      <c r="M84" s="203">
        <f t="shared" si="108"/>
        <v>0</v>
      </c>
      <c r="N84" s="203">
        <f t="shared" si="108"/>
        <v>0</v>
      </c>
      <c r="O84" s="203">
        <f t="shared" si="108"/>
        <v>0</v>
      </c>
      <c r="P84" s="203">
        <f t="shared" si="108"/>
        <v>0</v>
      </c>
      <c r="Q84" s="203">
        <f t="shared" si="108"/>
        <v>0</v>
      </c>
      <c r="R84" s="203">
        <f t="shared" si="108"/>
        <v>0</v>
      </c>
      <c r="S84" s="203">
        <f t="shared" si="108"/>
        <v>0</v>
      </c>
      <c r="T84" s="203">
        <f t="shared" si="108"/>
        <v>0</v>
      </c>
      <c r="U84" s="203">
        <f t="shared" si="108"/>
        <v>0</v>
      </c>
      <c r="V84" s="203">
        <f t="shared" si="108"/>
        <v>0</v>
      </c>
      <c r="W84" s="203">
        <f t="shared" si="108"/>
        <v>0</v>
      </c>
      <c r="X84" s="204">
        <f t="shared" si="108"/>
        <v>0</v>
      </c>
      <c r="Y84" s="95"/>
      <c r="Z84" s="96"/>
      <c r="AA84" s="97"/>
    </row>
    <row r="85" spans="3:27" s="93" customFormat="1" hidden="1" x14ac:dyDescent="0.25">
      <c r="C85" s="124" t="str">
        <f>Uebersetzung!$D$56&amp;" "&amp;1</f>
        <v>Zone 1</v>
      </c>
      <c r="D85" s="103" t="s">
        <v>142</v>
      </c>
      <c r="E85" s="79">
        <f>E$84*E72</f>
        <v>0</v>
      </c>
      <c r="F85" s="78">
        <f t="shared" ref="F85:X85" si="109">F$84*F72</f>
        <v>0</v>
      </c>
      <c r="G85" s="78">
        <f t="shared" si="109"/>
        <v>0</v>
      </c>
      <c r="H85" s="78">
        <f t="shared" si="109"/>
        <v>0</v>
      </c>
      <c r="I85" s="78">
        <f t="shared" si="109"/>
        <v>0</v>
      </c>
      <c r="J85" s="78">
        <f t="shared" si="109"/>
        <v>0</v>
      </c>
      <c r="K85" s="78">
        <f t="shared" si="109"/>
        <v>0</v>
      </c>
      <c r="L85" s="78">
        <f t="shared" si="109"/>
        <v>0</v>
      </c>
      <c r="M85" s="78">
        <f t="shared" si="109"/>
        <v>0</v>
      </c>
      <c r="N85" s="78">
        <f t="shared" si="109"/>
        <v>0</v>
      </c>
      <c r="O85" s="78">
        <f t="shared" si="109"/>
        <v>0</v>
      </c>
      <c r="P85" s="78">
        <f t="shared" si="109"/>
        <v>0</v>
      </c>
      <c r="Q85" s="78">
        <f t="shared" si="109"/>
        <v>0</v>
      </c>
      <c r="R85" s="78">
        <f t="shared" si="109"/>
        <v>0</v>
      </c>
      <c r="S85" s="78">
        <f t="shared" si="109"/>
        <v>0</v>
      </c>
      <c r="T85" s="78">
        <f t="shared" si="109"/>
        <v>0</v>
      </c>
      <c r="U85" s="78">
        <f t="shared" si="109"/>
        <v>0</v>
      </c>
      <c r="V85" s="78">
        <f t="shared" si="109"/>
        <v>0</v>
      </c>
      <c r="W85" s="78">
        <f t="shared" si="109"/>
        <v>0</v>
      </c>
      <c r="X85" s="125">
        <f t="shared" si="109"/>
        <v>0</v>
      </c>
      <c r="Y85" s="95"/>
      <c r="Z85" s="96"/>
      <c r="AA85" s="97"/>
    </row>
    <row r="86" spans="3:27" s="93" customFormat="1" hidden="1" x14ac:dyDescent="0.25">
      <c r="C86" s="126" t="str">
        <f>Uebersetzung!$D$56&amp;" "&amp;2</f>
        <v>Zone 2</v>
      </c>
      <c r="D86" s="106" t="s">
        <v>142</v>
      </c>
      <c r="E86" s="87">
        <f t="shared" ref="E86:X86" si="110">E$84*E73</f>
        <v>0</v>
      </c>
      <c r="F86" s="107">
        <f t="shared" si="110"/>
        <v>0</v>
      </c>
      <c r="G86" s="107">
        <f t="shared" si="110"/>
        <v>0</v>
      </c>
      <c r="H86" s="107">
        <f t="shared" si="110"/>
        <v>0</v>
      </c>
      <c r="I86" s="107">
        <f t="shared" si="110"/>
        <v>0</v>
      </c>
      <c r="J86" s="107">
        <f t="shared" si="110"/>
        <v>0</v>
      </c>
      <c r="K86" s="107">
        <f t="shared" si="110"/>
        <v>0</v>
      </c>
      <c r="L86" s="107">
        <f t="shared" si="110"/>
        <v>0</v>
      </c>
      <c r="M86" s="107">
        <f t="shared" si="110"/>
        <v>0</v>
      </c>
      <c r="N86" s="107">
        <f t="shared" si="110"/>
        <v>0</v>
      </c>
      <c r="O86" s="107">
        <f t="shared" si="110"/>
        <v>0</v>
      </c>
      <c r="P86" s="107">
        <f t="shared" si="110"/>
        <v>0</v>
      </c>
      <c r="Q86" s="107">
        <f t="shared" si="110"/>
        <v>0</v>
      </c>
      <c r="R86" s="107">
        <f t="shared" si="110"/>
        <v>0</v>
      </c>
      <c r="S86" s="107">
        <f t="shared" si="110"/>
        <v>0</v>
      </c>
      <c r="T86" s="107">
        <f t="shared" si="110"/>
        <v>0</v>
      </c>
      <c r="U86" s="107">
        <f t="shared" si="110"/>
        <v>0</v>
      </c>
      <c r="V86" s="107">
        <f t="shared" si="110"/>
        <v>0</v>
      </c>
      <c r="W86" s="107">
        <f t="shared" si="110"/>
        <v>0</v>
      </c>
      <c r="X86" s="127">
        <f t="shared" si="110"/>
        <v>0</v>
      </c>
      <c r="Y86" s="95"/>
      <c r="Z86" s="96"/>
      <c r="AA86" s="97"/>
    </row>
    <row r="87" spans="3:27" s="93" customFormat="1" hidden="1" x14ac:dyDescent="0.25">
      <c r="C87" s="126" t="str">
        <f>Uebersetzung!$D$56&amp;" "&amp;3</f>
        <v>Zone 3</v>
      </c>
      <c r="D87" s="106" t="s">
        <v>142</v>
      </c>
      <c r="E87" s="87">
        <f t="shared" ref="E87:X87" si="111">E$84*E74</f>
        <v>0</v>
      </c>
      <c r="F87" s="107">
        <f t="shared" si="111"/>
        <v>0</v>
      </c>
      <c r="G87" s="107">
        <f t="shared" si="111"/>
        <v>0</v>
      </c>
      <c r="H87" s="107">
        <f t="shared" si="111"/>
        <v>0</v>
      </c>
      <c r="I87" s="107">
        <f t="shared" si="111"/>
        <v>0</v>
      </c>
      <c r="J87" s="107">
        <f t="shared" si="111"/>
        <v>0</v>
      </c>
      <c r="K87" s="107">
        <f t="shared" si="111"/>
        <v>0</v>
      </c>
      <c r="L87" s="107">
        <f t="shared" si="111"/>
        <v>0</v>
      </c>
      <c r="M87" s="107">
        <f t="shared" si="111"/>
        <v>0</v>
      </c>
      <c r="N87" s="107">
        <f t="shared" si="111"/>
        <v>0</v>
      </c>
      <c r="O87" s="107">
        <f t="shared" si="111"/>
        <v>0</v>
      </c>
      <c r="P87" s="107">
        <f t="shared" si="111"/>
        <v>0</v>
      </c>
      <c r="Q87" s="107">
        <f t="shared" si="111"/>
        <v>0</v>
      </c>
      <c r="R87" s="107">
        <f t="shared" si="111"/>
        <v>0</v>
      </c>
      <c r="S87" s="107">
        <f t="shared" si="111"/>
        <v>0</v>
      </c>
      <c r="T87" s="107">
        <f t="shared" si="111"/>
        <v>0</v>
      </c>
      <c r="U87" s="107">
        <f t="shared" si="111"/>
        <v>0</v>
      </c>
      <c r="V87" s="107">
        <f t="shared" si="111"/>
        <v>0</v>
      </c>
      <c r="W87" s="107">
        <f t="shared" si="111"/>
        <v>0</v>
      </c>
      <c r="X87" s="127">
        <f t="shared" si="111"/>
        <v>0</v>
      </c>
      <c r="Y87" s="95"/>
      <c r="Z87" s="96"/>
      <c r="AA87" s="97"/>
    </row>
    <row r="88" spans="3:27" s="93" customFormat="1" hidden="1" x14ac:dyDescent="0.25">
      <c r="C88" s="126" t="str">
        <f>Uebersetzung!$D$56&amp;" "&amp;4</f>
        <v>Zone 4</v>
      </c>
      <c r="D88" s="106" t="s">
        <v>142</v>
      </c>
      <c r="E88" s="87">
        <f t="shared" ref="E88:X88" si="112">E$84*E75</f>
        <v>0</v>
      </c>
      <c r="F88" s="107">
        <f t="shared" si="112"/>
        <v>0</v>
      </c>
      <c r="G88" s="107">
        <f t="shared" si="112"/>
        <v>0</v>
      </c>
      <c r="H88" s="107">
        <f t="shared" si="112"/>
        <v>0</v>
      </c>
      <c r="I88" s="107">
        <f t="shared" si="112"/>
        <v>0</v>
      </c>
      <c r="J88" s="107">
        <f t="shared" si="112"/>
        <v>0</v>
      </c>
      <c r="K88" s="107">
        <f t="shared" si="112"/>
        <v>0</v>
      </c>
      <c r="L88" s="107">
        <f t="shared" si="112"/>
        <v>0</v>
      </c>
      <c r="M88" s="107">
        <f t="shared" si="112"/>
        <v>0</v>
      </c>
      <c r="N88" s="107">
        <f t="shared" si="112"/>
        <v>0</v>
      </c>
      <c r="O88" s="107">
        <f t="shared" si="112"/>
        <v>0</v>
      </c>
      <c r="P88" s="107">
        <f t="shared" si="112"/>
        <v>0</v>
      </c>
      <c r="Q88" s="107">
        <f t="shared" si="112"/>
        <v>0</v>
      </c>
      <c r="R88" s="107">
        <f t="shared" si="112"/>
        <v>0</v>
      </c>
      <c r="S88" s="107">
        <f t="shared" si="112"/>
        <v>0</v>
      </c>
      <c r="T88" s="107">
        <f t="shared" si="112"/>
        <v>0</v>
      </c>
      <c r="U88" s="107">
        <f t="shared" si="112"/>
        <v>0</v>
      </c>
      <c r="V88" s="107">
        <f t="shared" si="112"/>
        <v>0</v>
      </c>
      <c r="W88" s="107">
        <f t="shared" si="112"/>
        <v>0</v>
      </c>
      <c r="X88" s="127">
        <f t="shared" si="112"/>
        <v>0</v>
      </c>
      <c r="Y88" s="95"/>
      <c r="Z88" s="96"/>
      <c r="AA88" s="97"/>
    </row>
    <row r="89" spans="3:27" s="93" customFormat="1" hidden="1" x14ac:dyDescent="0.25">
      <c r="C89" s="126" t="str">
        <f>Uebersetzung!$D$56&amp;" "&amp;5</f>
        <v>Zone 5</v>
      </c>
      <c r="D89" s="106" t="s">
        <v>142</v>
      </c>
      <c r="E89" s="87">
        <f t="shared" ref="E89:X89" si="113">E$84*E76</f>
        <v>0</v>
      </c>
      <c r="F89" s="107">
        <f t="shared" si="113"/>
        <v>0</v>
      </c>
      <c r="G89" s="107">
        <f t="shared" si="113"/>
        <v>0</v>
      </c>
      <c r="H89" s="107">
        <f t="shared" si="113"/>
        <v>0</v>
      </c>
      <c r="I89" s="107">
        <f t="shared" si="113"/>
        <v>0</v>
      </c>
      <c r="J89" s="107">
        <f t="shared" si="113"/>
        <v>0</v>
      </c>
      <c r="K89" s="107">
        <f t="shared" si="113"/>
        <v>0</v>
      </c>
      <c r="L89" s="107">
        <f t="shared" si="113"/>
        <v>0</v>
      </c>
      <c r="M89" s="107">
        <f t="shared" si="113"/>
        <v>0</v>
      </c>
      <c r="N89" s="107">
        <f t="shared" si="113"/>
        <v>0</v>
      </c>
      <c r="O89" s="107">
        <f t="shared" si="113"/>
        <v>0</v>
      </c>
      <c r="P89" s="107">
        <f t="shared" si="113"/>
        <v>0</v>
      </c>
      <c r="Q89" s="107">
        <f t="shared" si="113"/>
        <v>0</v>
      </c>
      <c r="R89" s="107">
        <f t="shared" si="113"/>
        <v>0</v>
      </c>
      <c r="S89" s="107">
        <f t="shared" si="113"/>
        <v>0</v>
      </c>
      <c r="T89" s="107">
        <f t="shared" si="113"/>
        <v>0</v>
      </c>
      <c r="U89" s="107">
        <f t="shared" si="113"/>
        <v>0</v>
      </c>
      <c r="V89" s="107">
        <f t="shared" si="113"/>
        <v>0</v>
      </c>
      <c r="W89" s="107">
        <f t="shared" si="113"/>
        <v>0</v>
      </c>
      <c r="X89" s="127">
        <f t="shared" si="113"/>
        <v>0</v>
      </c>
      <c r="Y89" s="95"/>
      <c r="Z89" s="96"/>
      <c r="AA89" s="97"/>
    </row>
    <row r="90" spans="3:27" s="93" customFormat="1" hidden="1" x14ac:dyDescent="0.25">
      <c r="C90" s="126" t="str">
        <f>Uebersetzung!$D$56&amp;" "&amp;6</f>
        <v>Zone 6</v>
      </c>
      <c r="D90" s="106" t="s">
        <v>142</v>
      </c>
      <c r="E90" s="87">
        <f t="shared" ref="E90:X90" si="114">E$84*E77</f>
        <v>0</v>
      </c>
      <c r="F90" s="107">
        <f t="shared" si="114"/>
        <v>0</v>
      </c>
      <c r="G90" s="107">
        <f t="shared" si="114"/>
        <v>0</v>
      </c>
      <c r="H90" s="107">
        <f t="shared" si="114"/>
        <v>0</v>
      </c>
      <c r="I90" s="107">
        <f t="shared" si="114"/>
        <v>0</v>
      </c>
      <c r="J90" s="107">
        <f t="shared" si="114"/>
        <v>0</v>
      </c>
      <c r="K90" s="107">
        <f t="shared" si="114"/>
        <v>0</v>
      </c>
      <c r="L90" s="107">
        <f t="shared" si="114"/>
        <v>0</v>
      </c>
      <c r="M90" s="107">
        <f t="shared" si="114"/>
        <v>0</v>
      </c>
      <c r="N90" s="107">
        <f t="shared" si="114"/>
        <v>0</v>
      </c>
      <c r="O90" s="107">
        <f t="shared" si="114"/>
        <v>0</v>
      </c>
      <c r="P90" s="107">
        <f t="shared" si="114"/>
        <v>0</v>
      </c>
      <c r="Q90" s="107">
        <f t="shared" si="114"/>
        <v>0</v>
      </c>
      <c r="R90" s="107">
        <f t="shared" si="114"/>
        <v>0</v>
      </c>
      <c r="S90" s="107">
        <f t="shared" si="114"/>
        <v>0</v>
      </c>
      <c r="T90" s="107">
        <f t="shared" si="114"/>
        <v>0</v>
      </c>
      <c r="U90" s="107">
        <f t="shared" si="114"/>
        <v>0</v>
      </c>
      <c r="V90" s="107">
        <f t="shared" si="114"/>
        <v>0</v>
      </c>
      <c r="W90" s="107">
        <f t="shared" si="114"/>
        <v>0</v>
      </c>
      <c r="X90" s="127">
        <f t="shared" si="114"/>
        <v>0</v>
      </c>
      <c r="Y90" s="95"/>
      <c r="Z90" s="96"/>
      <c r="AA90" s="97"/>
    </row>
    <row r="91" spans="3:27" s="93" customFormat="1" hidden="1" x14ac:dyDescent="0.25">
      <c r="C91" s="128" t="str">
        <f>Uebersetzung!$D$159&amp;" "&amp;Uebersetzung!$D$109&amp;" "&amp;Uebersetzung!D118</f>
        <v>EBF Neubau total</v>
      </c>
      <c r="D91" s="110"/>
      <c r="E91" s="88">
        <f>SUM(E85:E90)</f>
        <v>0</v>
      </c>
      <c r="F91" s="111">
        <f t="shared" ref="F91:X91" si="115">SUM(F85:F90)</f>
        <v>0</v>
      </c>
      <c r="G91" s="111">
        <f t="shared" si="115"/>
        <v>0</v>
      </c>
      <c r="H91" s="111">
        <f t="shared" si="115"/>
        <v>0</v>
      </c>
      <c r="I91" s="111">
        <f t="shared" si="115"/>
        <v>0</v>
      </c>
      <c r="J91" s="111">
        <f t="shared" si="115"/>
        <v>0</v>
      </c>
      <c r="K91" s="111">
        <f t="shared" si="115"/>
        <v>0</v>
      </c>
      <c r="L91" s="111">
        <f t="shared" si="115"/>
        <v>0</v>
      </c>
      <c r="M91" s="111">
        <f t="shared" si="115"/>
        <v>0</v>
      </c>
      <c r="N91" s="111">
        <f t="shared" si="115"/>
        <v>0</v>
      </c>
      <c r="O91" s="111">
        <f t="shared" si="115"/>
        <v>0</v>
      </c>
      <c r="P91" s="111">
        <f t="shared" si="115"/>
        <v>0</v>
      </c>
      <c r="Q91" s="111">
        <f t="shared" si="115"/>
        <v>0</v>
      </c>
      <c r="R91" s="111">
        <f t="shared" si="115"/>
        <v>0</v>
      </c>
      <c r="S91" s="111">
        <f t="shared" si="115"/>
        <v>0</v>
      </c>
      <c r="T91" s="111">
        <f t="shared" si="115"/>
        <v>0</v>
      </c>
      <c r="U91" s="111">
        <f t="shared" si="115"/>
        <v>0</v>
      </c>
      <c r="V91" s="111">
        <f t="shared" si="115"/>
        <v>0</v>
      </c>
      <c r="W91" s="111">
        <f t="shared" si="115"/>
        <v>0</v>
      </c>
      <c r="X91" s="129">
        <f t="shared" si="115"/>
        <v>0</v>
      </c>
      <c r="Y91" s="95"/>
      <c r="Z91" s="113">
        <f>SUM(E91:X91)</f>
        <v>0</v>
      </c>
      <c r="AA91" s="114" t="str">
        <f>Uebersetzung!D$38</f>
        <v>Summe</v>
      </c>
    </row>
    <row r="92" spans="3:27" s="93" customFormat="1" ht="19.149999999999999" hidden="1" customHeight="1" x14ac:dyDescent="0.2">
      <c r="C92" s="122" t="str">
        <f>Uebersetzung!$D$160&amp;" "&amp;Uebersetzung!$D$109&amp;" "</f>
        <v xml:space="preserve">GF - EBF Neubau </v>
      </c>
      <c r="D92" s="95"/>
      <c r="E92" s="89"/>
      <c r="F92" s="89"/>
      <c r="G92" s="89"/>
      <c r="H92" s="89"/>
      <c r="I92" s="89"/>
      <c r="J92" s="89"/>
      <c r="K92" s="89"/>
      <c r="L92" s="89"/>
      <c r="M92" s="89"/>
      <c r="N92" s="89"/>
      <c r="O92" s="89"/>
      <c r="P92" s="89"/>
      <c r="Q92" s="89"/>
      <c r="R92" s="89"/>
      <c r="S92" s="89"/>
      <c r="T92" s="89"/>
      <c r="U92" s="89"/>
      <c r="V92" s="89"/>
      <c r="W92" s="89"/>
      <c r="X92" s="123"/>
      <c r="Y92" s="95"/>
      <c r="Z92" s="96"/>
      <c r="AA92" s="97"/>
    </row>
    <row r="93" spans="3:27" s="93" customFormat="1" hidden="1" x14ac:dyDescent="0.25">
      <c r="C93" s="124" t="str">
        <f>Uebersetzung!$D$56&amp;" "&amp;1</f>
        <v>Zone 1</v>
      </c>
      <c r="D93" s="103" t="s">
        <v>142</v>
      </c>
      <c r="E93" s="79">
        <f t="shared" ref="E93:X93" si="116">IF(E85&gt;0,E85/E$78*E$11-E85,0)</f>
        <v>0</v>
      </c>
      <c r="F93" s="78">
        <f t="shared" si="116"/>
        <v>0</v>
      </c>
      <c r="G93" s="78">
        <f t="shared" si="116"/>
        <v>0</v>
      </c>
      <c r="H93" s="78">
        <f t="shared" si="116"/>
        <v>0</v>
      </c>
      <c r="I93" s="78">
        <f t="shared" si="116"/>
        <v>0</v>
      </c>
      <c r="J93" s="78">
        <f t="shared" si="116"/>
        <v>0</v>
      </c>
      <c r="K93" s="78">
        <f t="shared" si="116"/>
        <v>0</v>
      </c>
      <c r="L93" s="78">
        <f t="shared" si="116"/>
        <v>0</v>
      </c>
      <c r="M93" s="78">
        <f t="shared" si="116"/>
        <v>0</v>
      </c>
      <c r="N93" s="78">
        <f t="shared" si="116"/>
        <v>0</v>
      </c>
      <c r="O93" s="78">
        <f t="shared" si="116"/>
        <v>0</v>
      </c>
      <c r="P93" s="78">
        <f t="shared" si="116"/>
        <v>0</v>
      </c>
      <c r="Q93" s="78">
        <f t="shared" si="116"/>
        <v>0</v>
      </c>
      <c r="R93" s="78">
        <f t="shared" si="116"/>
        <v>0</v>
      </c>
      <c r="S93" s="78">
        <f t="shared" si="116"/>
        <v>0</v>
      </c>
      <c r="T93" s="78">
        <f t="shared" si="116"/>
        <v>0</v>
      </c>
      <c r="U93" s="78">
        <f t="shared" si="116"/>
        <v>0</v>
      </c>
      <c r="V93" s="78">
        <f t="shared" si="116"/>
        <v>0</v>
      </c>
      <c r="W93" s="78">
        <f t="shared" si="116"/>
        <v>0</v>
      </c>
      <c r="X93" s="125">
        <f t="shared" si="116"/>
        <v>0</v>
      </c>
      <c r="Y93" s="95"/>
      <c r="Z93" s="96"/>
      <c r="AA93" s="97"/>
    </row>
    <row r="94" spans="3:27" s="93" customFormat="1" hidden="1" x14ac:dyDescent="0.25">
      <c r="C94" s="126" t="str">
        <f>Uebersetzung!$D$56&amp;" "&amp;2</f>
        <v>Zone 2</v>
      </c>
      <c r="D94" s="106" t="s">
        <v>142</v>
      </c>
      <c r="E94" s="87">
        <f t="shared" ref="E94:X94" si="117">IF(E86&gt;0,E86/E$78*E$11-E86,0)</f>
        <v>0</v>
      </c>
      <c r="F94" s="107">
        <f t="shared" si="117"/>
        <v>0</v>
      </c>
      <c r="G94" s="107">
        <f t="shared" si="117"/>
        <v>0</v>
      </c>
      <c r="H94" s="107">
        <f t="shared" si="117"/>
        <v>0</v>
      </c>
      <c r="I94" s="107">
        <f t="shared" si="117"/>
        <v>0</v>
      </c>
      <c r="J94" s="107">
        <f t="shared" si="117"/>
        <v>0</v>
      </c>
      <c r="K94" s="107">
        <f t="shared" si="117"/>
        <v>0</v>
      </c>
      <c r="L94" s="107">
        <f t="shared" si="117"/>
        <v>0</v>
      </c>
      <c r="M94" s="107">
        <f t="shared" si="117"/>
        <v>0</v>
      </c>
      <c r="N94" s="107">
        <f t="shared" si="117"/>
        <v>0</v>
      </c>
      <c r="O94" s="107">
        <f t="shared" si="117"/>
        <v>0</v>
      </c>
      <c r="P94" s="107">
        <f t="shared" si="117"/>
        <v>0</v>
      </c>
      <c r="Q94" s="107">
        <f t="shared" si="117"/>
        <v>0</v>
      </c>
      <c r="R94" s="107">
        <f t="shared" si="117"/>
        <v>0</v>
      </c>
      <c r="S94" s="107">
        <f t="shared" si="117"/>
        <v>0</v>
      </c>
      <c r="T94" s="107">
        <f t="shared" si="117"/>
        <v>0</v>
      </c>
      <c r="U94" s="107">
        <f t="shared" si="117"/>
        <v>0</v>
      </c>
      <c r="V94" s="107">
        <f t="shared" si="117"/>
        <v>0</v>
      </c>
      <c r="W94" s="107">
        <f t="shared" si="117"/>
        <v>0</v>
      </c>
      <c r="X94" s="127">
        <f t="shared" si="117"/>
        <v>0</v>
      </c>
      <c r="Y94" s="95"/>
      <c r="Z94" s="96"/>
      <c r="AA94" s="97"/>
    </row>
    <row r="95" spans="3:27" s="93" customFormat="1" hidden="1" x14ac:dyDescent="0.25">
      <c r="C95" s="126" t="str">
        <f>Uebersetzung!$D$56&amp;" "&amp;3</f>
        <v>Zone 3</v>
      </c>
      <c r="D95" s="106" t="s">
        <v>142</v>
      </c>
      <c r="E95" s="87">
        <f t="shared" ref="E95:X95" si="118">IF(E87&gt;0,E87/E$78*E$11-E87,0)</f>
        <v>0</v>
      </c>
      <c r="F95" s="107">
        <f t="shared" si="118"/>
        <v>0</v>
      </c>
      <c r="G95" s="107">
        <f t="shared" si="118"/>
        <v>0</v>
      </c>
      <c r="H95" s="107">
        <f t="shared" si="118"/>
        <v>0</v>
      </c>
      <c r="I95" s="107">
        <f t="shared" si="118"/>
        <v>0</v>
      </c>
      <c r="J95" s="107">
        <f t="shared" si="118"/>
        <v>0</v>
      </c>
      <c r="K95" s="107">
        <f t="shared" si="118"/>
        <v>0</v>
      </c>
      <c r="L95" s="107">
        <f t="shared" si="118"/>
        <v>0</v>
      </c>
      <c r="M95" s="107">
        <f t="shared" si="118"/>
        <v>0</v>
      </c>
      <c r="N95" s="107">
        <f t="shared" si="118"/>
        <v>0</v>
      </c>
      <c r="O95" s="107">
        <f t="shared" si="118"/>
        <v>0</v>
      </c>
      <c r="P95" s="107">
        <f t="shared" si="118"/>
        <v>0</v>
      </c>
      <c r="Q95" s="107">
        <f t="shared" si="118"/>
        <v>0</v>
      </c>
      <c r="R95" s="107">
        <f t="shared" si="118"/>
        <v>0</v>
      </c>
      <c r="S95" s="107">
        <f t="shared" si="118"/>
        <v>0</v>
      </c>
      <c r="T95" s="107">
        <f t="shared" si="118"/>
        <v>0</v>
      </c>
      <c r="U95" s="107">
        <f t="shared" si="118"/>
        <v>0</v>
      </c>
      <c r="V95" s="107">
        <f t="shared" si="118"/>
        <v>0</v>
      </c>
      <c r="W95" s="107">
        <f t="shared" si="118"/>
        <v>0</v>
      </c>
      <c r="X95" s="127">
        <f t="shared" si="118"/>
        <v>0</v>
      </c>
      <c r="Y95" s="95"/>
      <c r="Z95" s="96"/>
      <c r="AA95" s="97"/>
    </row>
    <row r="96" spans="3:27" s="93" customFormat="1" hidden="1" x14ac:dyDescent="0.25">
      <c r="C96" s="126" t="str">
        <f>Uebersetzung!$D$56&amp;" "&amp;4</f>
        <v>Zone 4</v>
      </c>
      <c r="D96" s="106" t="s">
        <v>142</v>
      </c>
      <c r="E96" s="87">
        <f t="shared" ref="E96:X96" si="119">IF(E88&gt;0,E88/E$78*E$11-E88,0)</f>
        <v>0</v>
      </c>
      <c r="F96" s="107">
        <f t="shared" si="119"/>
        <v>0</v>
      </c>
      <c r="G96" s="107">
        <f t="shared" si="119"/>
        <v>0</v>
      </c>
      <c r="H96" s="107">
        <f t="shared" si="119"/>
        <v>0</v>
      </c>
      <c r="I96" s="107">
        <f t="shared" si="119"/>
        <v>0</v>
      </c>
      <c r="J96" s="107">
        <f t="shared" si="119"/>
        <v>0</v>
      </c>
      <c r="K96" s="107">
        <f t="shared" si="119"/>
        <v>0</v>
      </c>
      <c r="L96" s="107">
        <f t="shared" si="119"/>
        <v>0</v>
      </c>
      <c r="M96" s="107">
        <f t="shared" si="119"/>
        <v>0</v>
      </c>
      <c r="N96" s="107">
        <f t="shared" si="119"/>
        <v>0</v>
      </c>
      <c r="O96" s="107">
        <f t="shared" si="119"/>
        <v>0</v>
      </c>
      <c r="P96" s="107">
        <f t="shared" si="119"/>
        <v>0</v>
      </c>
      <c r="Q96" s="107">
        <f t="shared" si="119"/>
        <v>0</v>
      </c>
      <c r="R96" s="107">
        <f t="shared" si="119"/>
        <v>0</v>
      </c>
      <c r="S96" s="107">
        <f t="shared" si="119"/>
        <v>0</v>
      </c>
      <c r="T96" s="107">
        <f t="shared" si="119"/>
        <v>0</v>
      </c>
      <c r="U96" s="107">
        <f t="shared" si="119"/>
        <v>0</v>
      </c>
      <c r="V96" s="107">
        <f t="shared" si="119"/>
        <v>0</v>
      </c>
      <c r="W96" s="107">
        <f t="shared" si="119"/>
        <v>0</v>
      </c>
      <c r="X96" s="127">
        <f t="shared" si="119"/>
        <v>0</v>
      </c>
      <c r="Y96" s="95"/>
      <c r="Z96" s="96"/>
      <c r="AA96" s="97"/>
    </row>
    <row r="97" spans="3:27" s="93" customFormat="1" hidden="1" x14ac:dyDescent="0.25">
      <c r="C97" s="126" t="str">
        <f>Uebersetzung!$D$56&amp;" "&amp;5</f>
        <v>Zone 5</v>
      </c>
      <c r="D97" s="106" t="s">
        <v>142</v>
      </c>
      <c r="E97" s="87">
        <f t="shared" ref="E97:X97" si="120">IF(E89&gt;0,E89/E$78*E$11-E89,0)</f>
        <v>0</v>
      </c>
      <c r="F97" s="107">
        <f t="shared" si="120"/>
        <v>0</v>
      </c>
      <c r="G97" s="107">
        <f t="shared" si="120"/>
        <v>0</v>
      </c>
      <c r="H97" s="107">
        <f t="shared" si="120"/>
        <v>0</v>
      </c>
      <c r="I97" s="107">
        <f t="shared" si="120"/>
        <v>0</v>
      </c>
      <c r="J97" s="107">
        <f t="shared" si="120"/>
        <v>0</v>
      </c>
      <c r="K97" s="107">
        <f t="shared" si="120"/>
        <v>0</v>
      </c>
      <c r="L97" s="107">
        <f t="shared" si="120"/>
        <v>0</v>
      </c>
      <c r="M97" s="107">
        <f t="shared" si="120"/>
        <v>0</v>
      </c>
      <c r="N97" s="107">
        <f t="shared" si="120"/>
        <v>0</v>
      </c>
      <c r="O97" s="107">
        <f t="shared" si="120"/>
        <v>0</v>
      </c>
      <c r="P97" s="107">
        <f t="shared" si="120"/>
        <v>0</v>
      </c>
      <c r="Q97" s="107">
        <f t="shared" si="120"/>
        <v>0</v>
      </c>
      <c r="R97" s="107">
        <f t="shared" si="120"/>
        <v>0</v>
      </c>
      <c r="S97" s="107">
        <f t="shared" si="120"/>
        <v>0</v>
      </c>
      <c r="T97" s="107">
        <f t="shared" si="120"/>
        <v>0</v>
      </c>
      <c r="U97" s="107">
        <f t="shared" si="120"/>
        <v>0</v>
      </c>
      <c r="V97" s="107">
        <f t="shared" si="120"/>
        <v>0</v>
      </c>
      <c r="W97" s="107">
        <f t="shared" si="120"/>
        <v>0</v>
      </c>
      <c r="X97" s="127">
        <f t="shared" si="120"/>
        <v>0</v>
      </c>
      <c r="Y97" s="95"/>
      <c r="Z97" s="96"/>
      <c r="AA97" s="97"/>
    </row>
    <row r="98" spans="3:27" s="93" customFormat="1" hidden="1" x14ac:dyDescent="0.25">
      <c r="C98" s="126" t="str">
        <f>Uebersetzung!$D$56&amp;" "&amp;6</f>
        <v>Zone 6</v>
      </c>
      <c r="D98" s="106" t="s">
        <v>142</v>
      </c>
      <c r="E98" s="87">
        <f t="shared" ref="E98:X98" si="121">IF(E90&gt;0,E90/E$78*E$11-E90,0)</f>
        <v>0</v>
      </c>
      <c r="F98" s="107">
        <f t="shared" si="121"/>
        <v>0</v>
      </c>
      <c r="G98" s="107">
        <f t="shared" si="121"/>
        <v>0</v>
      </c>
      <c r="H98" s="107">
        <f t="shared" si="121"/>
        <v>0</v>
      </c>
      <c r="I98" s="107">
        <f t="shared" si="121"/>
        <v>0</v>
      </c>
      <c r="J98" s="107">
        <f t="shared" si="121"/>
        <v>0</v>
      </c>
      <c r="K98" s="107">
        <f t="shared" si="121"/>
        <v>0</v>
      </c>
      <c r="L98" s="107">
        <f t="shared" si="121"/>
        <v>0</v>
      </c>
      <c r="M98" s="107">
        <f t="shared" si="121"/>
        <v>0</v>
      </c>
      <c r="N98" s="107">
        <f t="shared" si="121"/>
        <v>0</v>
      </c>
      <c r="O98" s="107">
        <f t="shared" si="121"/>
        <v>0</v>
      </c>
      <c r="P98" s="107">
        <f t="shared" si="121"/>
        <v>0</v>
      </c>
      <c r="Q98" s="107">
        <f t="shared" si="121"/>
        <v>0</v>
      </c>
      <c r="R98" s="107">
        <f t="shared" si="121"/>
        <v>0</v>
      </c>
      <c r="S98" s="107">
        <f t="shared" si="121"/>
        <v>0</v>
      </c>
      <c r="T98" s="107">
        <f t="shared" si="121"/>
        <v>0</v>
      </c>
      <c r="U98" s="107">
        <f t="shared" si="121"/>
        <v>0</v>
      </c>
      <c r="V98" s="107">
        <f t="shared" si="121"/>
        <v>0</v>
      </c>
      <c r="W98" s="107">
        <f t="shared" si="121"/>
        <v>0</v>
      </c>
      <c r="X98" s="127">
        <f t="shared" si="121"/>
        <v>0</v>
      </c>
      <c r="Y98" s="95"/>
      <c r="Z98" s="96"/>
      <c r="AA98" s="97"/>
    </row>
    <row r="99" spans="3:27" s="93" customFormat="1" hidden="1" x14ac:dyDescent="0.25">
      <c r="C99" s="128" t="str">
        <f>Uebersetzung!$D$160&amp;" "&amp;Uebersetzung!$D$109&amp;" "&amp;Uebersetzung!D118</f>
        <v>GF - EBF Neubau total</v>
      </c>
      <c r="D99" s="110" t="s">
        <v>142</v>
      </c>
      <c r="E99" s="88">
        <f>SUM(E93:E98)</f>
        <v>0</v>
      </c>
      <c r="F99" s="111">
        <f t="shared" ref="F99:X99" si="122">SUM(F93:F98)</f>
        <v>0</v>
      </c>
      <c r="G99" s="111">
        <f t="shared" si="122"/>
        <v>0</v>
      </c>
      <c r="H99" s="111">
        <f t="shared" si="122"/>
        <v>0</v>
      </c>
      <c r="I99" s="111">
        <f t="shared" si="122"/>
        <v>0</v>
      </c>
      <c r="J99" s="111">
        <f t="shared" si="122"/>
        <v>0</v>
      </c>
      <c r="K99" s="111">
        <f t="shared" si="122"/>
        <v>0</v>
      </c>
      <c r="L99" s="111">
        <f t="shared" si="122"/>
        <v>0</v>
      </c>
      <c r="M99" s="111">
        <f t="shared" si="122"/>
        <v>0</v>
      </c>
      <c r="N99" s="111">
        <f t="shared" si="122"/>
        <v>0</v>
      </c>
      <c r="O99" s="111">
        <f t="shared" si="122"/>
        <v>0</v>
      </c>
      <c r="P99" s="111">
        <f t="shared" si="122"/>
        <v>0</v>
      </c>
      <c r="Q99" s="111">
        <f t="shared" si="122"/>
        <v>0</v>
      </c>
      <c r="R99" s="111">
        <f t="shared" si="122"/>
        <v>0</v>
      </c>
      <c r="S99" s="111">
        <f t="shared" si="122"/>
        <v>0</v>
      </c>
      <c r="T99" s="111">
        <f t="shared" si="122"/>
        <v>0</v>
      </c>
      <c r="U99" s="111">
        <f t="shared" si="122"/>
        <v>0</v>
      </c>
      <c r="V99" s="111">
        <f t="shared" si="122"/>
        <v>0</v>
      </c>
      <c r="W99" s="111">
        <f t="shared" si="122"/>
        <v>0</v>
      </c>
      <c r="X99" s="129">
        <f t="shared" si="122"/>
        <v>0</v>
      </c>
      <c r="Y99" s="95"/>
      <c r="Z99" s="113">
        <f>SUM(E99:X99)</f>
        <v>0</v>
      </c>
      <c r="AA99" s="114" t="str">
        <f>Uebersetzung!D$38</f>
        <v>Summe</v>
      </c>
    </row>
    <row r="100" spans="3:27" s="93" customFormat="1" ht="19.149999999999999" hidden="1" customHeight="1" x14ac:dyDescent="0.2">
      <c r="C100" s="122" t="str">
        <f>Uebersetzung!$D$40&amp;" "&amp;Uebersetzung!$D$155&amp;" ("&amp;Uebersetzung!D160&amp;")"</f>
        <v>Anforderung kalt (GF - EBF)</v>
      </c>
      <c r="D100" s="95"/>
      <c r="E100" s="89"/>
      <c r="F100" s="89"/>
      <c r="G100" s="89"/>
      <c r="H100" s="89"/>
      <c r="I100" s="89"/>
      <c r="J100" s="89"/>
      <c r="K100" s="89"/>
      <c r="L100" s="89"/>
      <c r="M100" s="89"/>
      <c r="N100" s="89"/>
      <c r="O100" s="89"/>
      <c r="P100" s="89"/>
      <c r="Q100" s="89"/>
      <c r="R100" s="89"/>
      <c r="S100" s="89"/>
      <c r="T100" s="89"/>
      <c r="U100" s="89"/>
      <c r="V100" s="89"/>
      <c r="W100" s="89"/>
      <c r="X100" s="123"/>
      <c r="Y100" s="95"/>
      <c r="Z100" s="96"/>
      <c r="AA100" s="97"/>
    </row>
    <row r="101" spans="3:27" s="93" customFormat="1" ht="13.5" hidden="1" x14ac:dyDescent="0.25">
      <c r="C101" s="124" t="str">
        <f>$C$72</f>
        <v>Zone 1</v>
      </c>
      <c r="D101" s="103" t="s">
        <v>155</v>
      </c>
      <c r="E101" s="78">
        <f>IF(E$78=0,0,IFERROR(VLOOKUP(E24,Listen!$B$2:$E$13,3,0),0)*(E85/E$78*E$11-E85))</f>
        <v>0</v>
      </c>
      <c r="F101" s="78">
        <f>IF(F$78=0,0,IFERROR(VLOOKUP(F24,Listen!$B$2:$E$13,3,0),0)*(F85/F$78*F$11-F85))</f>
        <v>0</v>
      </c>
      <c r="G101" s="78">
        <f>IF(G$78=0,0,IFERROR(VLOOKUP(G24,Listen!$B$2:$E$13,3,0),0)*(G85/G$78*G$11-G85))</f>
        <v>0</v>
      </c>
      <c r="H101" s="78">
        <f>IF(H$78=0,0,IFERROR(VLOOKUP(H24,Listen!$B$2:$E$13,3,0),0)*(H85/H$78*H$11-H85))</f>
        <v>0</v>
      </c>
      <c r="I101" s="78">
        <f>IF(I$78=0,0,IFERROR(VLOOKUP(I24,Listen!$B$2:$E$13,3,0),0)*(I85/I$78*I$11-I85))</f>
        <v>0</v>
      </c>
      <c r="J101" s="78">
        <f>IF(J$78=0,0,IFERROR(VLOOKUP(J24,Listen!$B$2:$E$13,3,0),0)*(J85/J$78*J$11-J85))</f>
        <v>0</v>
      </c>
      <c r="K101" s="78">
        <f>IF(K$78=0,0,IFERROR(VLOOKUP(K24,Listen!$B$2:$E$13,3,0),0)*(K85/K$78*K$11-K85))</f>
        <v>0</v>
      </c>
      <c r="L101" s="78">
        <f>IF(L$78=0,0,IFERROR(VLOOKUP(L24,Listen!$B$2:$E$13,3,0),0)*(L85/L$78*L$11-L85))</f>
        <v>0</v>
      </c>
      <c r="M101" s="78">
        <f>IF(M$78=0,0,IFERROR(VLOOKUP(M24,Listen!$B$2:$E$13,3,0),0)*(M85/M$78*M$11-M85))</f>
        <v>0</v>
      </c>
      <c r="N101" s="78">
        <f>IF(N$78=0,0,IFERROR(VLOOKUP(N24,Listen!$B$2:$E$13,3,0),0)*(N85/N$78*N$11-N85))</f>
        <v>0</v>
      </c>
      <c r="O101" s="78">
        <f>IF(O$78=0,0,IFERROR(VLOOKUP(O24,Listen!$B$2:$E$13,3,0),0)*(O85/O$78*O$11-O85))</f>
        <v>0</v>
      </c>
      <c r="P101" s="78">
        <f>IF(P$78=0,0,IFERROR(VLOOKUP(P24,Listen!$B$2:$E$13,3,0),0)*(P85/P$78*P$11-P85))</f>
        <v>0</v>
      </c>
      <c r="Q101" s="78">
        <f>IF(Q$78=0,0,IFERROR(VLOOKUP(Q24,Listen!$B$2:$E$13,3,0),0)*(Q85/Q$78*Q$11-Q85))</f>
        <v>0</v>
      </c>
      <c r="R101" s="78">
        <f>IF(R$78=0,0,IFERROR(VLOOKUP(R24,Listen!$B$2:$E$13,3,0),0)*(R85/R$78*R$11-R85))</f>
        <v>0</v>
      </c>
      <c r="S101" s="78">
        <f>IF(S$78=0,0,IFERROR(VLOOKUP(S24,Listen!$B$2:$E$13,3,0),0)*(S85/S$78*S$11-S85))</f>
        <v>0</v>
      </c>
      <c r="T101" s="78">
        <f>IF(T$78=0,0,IFERROR(VLOOKUP(T24,Listen!$B$2:$E$13,3,0),0)*(T85/T$78*T$11-T85))</f>
        <v>0</v>
      </c>
      <c r="U101" s="78">
        <f>IF(U$78=0,0,IFERROR(VLOOKUP(U24,Listen!$B$2:$E$13,3,0),0)*(U85/U$78*U$11-U85))</f>
        <v>0</v>
      </c>
      <c r="V101" s="78">
        <f>IF(V$78=0,0,IFERROR(VLOOKUP(V24,Listen!$B$2:$E$13,3,0),0)*(V85/V$78*V$11-V85))</f>
        <v>0</v>
      </c>
      <c r="W101" s="78">
        <f>IF(W$78=0,0,IFERROR(VLOOKUP(W24,Listen!$B$2:$E$13,3,0),0)*(W85/W$78*W$11-W85))</f>
        <v>0</v>
      </c>
      <c r="X101" s="125">
        <f>IF(X$78=0,0,IFERROR(VLOOKUP(X24,Listen!$B$2:$E$13,3,0),0)*(X85/X$78*X$11-X85))</f>
        <v>0</v>
      </c>
      <c r="Y101" s="95"/>
      <c r="Z101" s="96"/>
      <c r="AA101" s="97"/>
    </row>
    <row r="102" spans="3:27" s="93" customFormat="1" ht="13.5" hidden="1" x14ac:dyDescent="0.25">
      <c r="C102" s="126" t="str">
        <f>$C$73</f>
        <v>Zone 2</v>
      </c>
      <c r="D102" s="106" t="s">
        <v>155</v>
      </c>
      <c r="E102" s="107">
        <f>IF(E$78=0,0,IFERROR(VLOOKUP(E27,Listen!$B$2:$E$13,3,0),0)*(E86/E$78*E$11-E86))</f>
        <v>0</v>
      </c>
      <c r="F102" s="107">
        <f>IF(F$78=0,0,IFERROR(VLOOKUP(F27,Listen!$B$2:$E$13,3,0),0)*(F86/F$78*F$11-F86))</f>
        <v>0</v>
      </c>
      <c r="G102" s="107">
        <f>IF(G$78=0,0,IFERROR(VLOOKUP(G27,Listen!$B$2:$E$13,3,0),0)*(G86/G$78*G$11-G86))</f>
        <v>0</v>
      </c>
      <c r="H102" s="107">
        <f>IF(H$78=0,0,IFERROR(VLOOKUP(H27,Listen!$B$2:$E$13,3,0),0)*(H86/H$78*H$11-H86))</f>
        <v>0</v>
      </c>
      <c r="I102" s="107">
        <f>IF(I$78=0,0,IFERROR(VLOOKUP(I27,Listen!$B$2:$E$13,3,0),0)*(I86/I$78*I$11-I86))</f>
        <v>0</v>
      </c>
      <c r="J102" s="107">
        <f>IF(J$78=0,0,IFERROR(VLOOKUP(J27,Listen!$B$2:$E$13,3,0),0)*(J86/J$78*J$11-J86))</f>
        <v>0</v>
      </c>
      <c r="K102" s="107">
        <f>IF(K$78=0,0,IFERROR(VLOOKUP(K27,Listen!$B$2:$E$13,3,0),0)*(K86/K$78*K$11-K86))</f>
        <v>0</v>
      </c>
      <c r="L102" s="107">
        <f>IF(L$78=0,0,IFERROR(VLOOKUP(L27,Listen!$B$2:$E$13,3,0),0)*(L86/L$78*L$11-L86))</f>
        <v>0</v>
      </c>
      <c r="M102" s="107">
        <f>IF(M$78=0,0,IFERROR(VLOOKUP(M27,Listen!$B$2:$E$13,3,0),0)*(M86/M$78*M$11-M86))</f>
        <v>0</v>
      </c>
      <c r="N102" s="107">
        <f>IF(N$78=0,0,IFERROR(VLOOKUP(N27,Listen!$B$2:$E$13,3,0),0)*(N86/N$78*N$11-N86))</f>
        <v>0</v>
      </c>
      <c r="O102" s="107">
        <f>IF(O$78=0,0,IFERROR(VLOOKUP(O27,Listen!$B$2:$E$13,3,0),0)*(O86/O$78*O$11-O86))</f>
        <v>0</v>
      </c>
      <c r="P102" s="107">
        <f>IF(P$78=0,0,IFERROR(VLOOKUP(P27,Listen!$B$2:$E$13,3,0),0)*(P86/P$78*P$11-P86))</f>
        <v>0</v>
      </c>
      <c r="Q102" s="107">
        <f>IF(Q$78=0,0,IFERROR(VLOOKUP(Q27,Listen!$B$2:$E$13,3,0),0)*(Q86/Q$78*Q$11-Q86))</f>
        <v>0</v>
      </c>
      <c r="R102" s="107">
        <f>IF(R$78=0,0,IFERROR(VLOOKUP(R27,Listen!$B$2:$E$13,3,0),0)*(R86/R$78*R$11-R86))</f>
        <v>0</v>
      </c>
      <c r="S102" s="107">
        <f>IF(S$78=0,0,IFERROR(VLOOKUP(S27,Listen!$B$2:$E$13,3,0),0)*(S86/S$78*S$11-S86))</f>
        <v>0</v>
      </c>
      <c r="T102" s="107">
        <f>IF(T$78=0,0,IFERROR(VLOOKUP(T27,Listen!$B$2:$E$13,3,0),0)*(T86/T$78*T$11-T86))</f>
        <v>0</v>
      </c>
      <c r="U102" s="107">
        <f>IF(U$78=0,0,IFERROR(VLOOKUP(U27,Listen!$B$2:$E$13,3,0),0)*(U86/U$78*U$11-U86))</f>
        <v>0</v>
      </c>
      <c r="V102" s="107">
        <f>IF(V$78=0,0,IFERROR(VLOOKUP(V27,Listen!$B$2:$E$13,3,0),0)*(V86/V$78*V$11-V86))</f>
        <v>0</v>
      </c>
      <c r="W102" s="107">
        <f>IF(W$78=0,0,IFERROR(VLOOKUP(W27,Listen!$B$2:$E$13,3,0),0)*(W86/W$78*W$11-W86))</f>
        <v>0</v>
      </c>
      <c r="X102" s="127">
        <f>IF(X$78=0,0,IFERROR(VLOOKUP(X27,Listen!$B$2:$E$13,3,0),0)*(X86/X$78*X$11-X86))</f>
        <v>0</v>
      </c>
      <c r="Y102" s="95"/>
      <c r="Z102" s="96"/>
      <c r="AA102" s="97"/>
    </row>
    <row r="103" spans="3:27" s="93" customFormat="1" ht="13.5" hidden="1" x14ac:dyDescent="0.25">
      <c r="C103" s="126" t="str">
        <f>$C$74</f>
        <v>Zone 3</v>
      </c>
      <c r="D103" s="106" t="s">
        <v>155</v>
      </c>
      <c r="E103" s="107">
        <f>IF(E$78=0,0,IFERROR(VLOOKUP(E30,Listen!$B$2:$E$13,3,0),0)*(E87/E$78*E$11-E87))</f>
        <v>0</v>
      </c>
      <c r="F103" s="107">
        <f>IF(F$78=0,0,IFERROR(VLOOKUP(F30,Listen!$B$2:$E$13,3,0),0)*(F87/F$78*F$11-F87))</f>
        <v>0</v>
      </c>
      <c r="G103" s="107">
        <f>IF(G$78=0,0,IFERROR(VLOOKUP(G30,Listen!$B$2:$E$13,3,0),0)*(G87/G$78*G$11-G87))</f>
        <v>0</v>
      </c>
      <c r="H103" s="107">
        <f>IF(H$78=0,0,IFERROR(VLOOKUP(H30,Listen!$B$2:$E$13,3,0),0)*(H87/H$78*H$11-H87))</f>
        <v>0</v>
      </c>
      <c r="I103" s="107">
        <f>IF(I$78=0,0,IFERROR(VLOOKUP(I30,Listen!$B$2:$E$13,3,0),0)*(I87/I$78*I$11-I87))</f>
        <v>0</v>
      </c>
      <c r="J103" s="107">
        <f>IF(J$78=0,0,IFERROR(VLOOKUP(J30,Listen!$B$2:$E$13,3,0),0)*(J87/J$78*J$11-J87))</f>
        <v>0</v>
      </c>
      <c r="K103" s="107">
        <f>IF(K$78=0,0,IFERROR(VLOOKUP(K30,Listen!$B$2:$E$13,3,0),0)*(K87/K$78*K$11-K87))</f>
        <v>0</v>
      </c>
      <c r="L103" s="107">
        <f>IF(L$78=0,0,IFERROR(VLOOKUP(L30,Listen!$B$2:$E$13,3,0),0)*(L87/L$78*L$11-L87))</f>
        <v>0</v>
      </c>
      <c r="M103" s="107">
        <f>IF(M$78=0,0,IFERROR(VLOOKUP(M30,Listen!$B$2:$E$13,3,0),0)*(M87/M$78*M$11-M87))</f>
        <v>0</v>
      </c>
      <c r="N103" s="107">
        <f>IF(N$78=0,0,IFERROR(VLOOKUP(N30,Listen!$B$2:$E$13,3,0),0)*(N87/N$78*N$11-N87))</f>
        <v>0</v>
      </c>
      <c r="O103" s="107">
        <f>IF(O$78=0,0,IFERROR(VLOOKUP(O30,Listen!$B$2:$E$13,3,0),0)*(O87/O$78*O$11-O87))</f>
        <v>0</v>
      </c>
      <c r="P103" s="107">
        <f>IF(P$78=0,0,IFERROR(VLOOKUP(P30,Listen!$B$2:$E$13,3,0),0)*(P87/P$78*P$11-P87))</f>
        <v>0</v>
      </c>
      <c r="Q103" s="107">
        <f>IF(Q$78=0,0,IFERROR(VLOOKUP(Q30,Listen!$B$2:$E$13,3,0),0)*(Q87/Q$78*Q$11-Q87))</f>
        <v>0</v>
      </c>
      <c r="R103" s="107">
        <f>IF(R$78=0,0,IFERROR(VLOOKUP(R30,Listen!$B$2:$E$13,3,0),0)*(R87/R$78*R$11-R87))</f>
        <v>0</v>
      </c>
      <c r="S103" s="107">
        <f>IF(S$78=0,0,IFERROR(VLOOKUP(S30,Listen!$B$2:$E$13,3,0),0)*(S87/S$78*S$11-S87))</f>
        <v>0</v>
      </c>
      <c r="T103" s="107">
        <f>IF(T$78=0,0,IFERROR(VLOOKUP(T30,Listen!$B$2:$E$13,3,0),0)*(T87/T$78*T$11-T87))</f>
        <v>0</v>
      </c>
      <c r="U103" s="107">
        <f>IF(U$78=0,0,IFERROR(VLOOKUP(U30,Listen!$B$2:$E$13,3,0),0)*(U87/U$78*U$11-U87))</f>
        <v>0</v>
      </c>
      <c r="V103" s="107">
        <f>IF(V$78=0,0,IFERROR(VLOOKUP(V30,Listen!$B$2:$E$13,3,0),0)*(V87/V$78*V$11-V87))</f>
        <v>0</v>
      </c>
      <c r="W103" s="107">
        <f>IF(W$78=0,0,IFERROR(VLOOKUP(W30,Listen!$B$2:$E$13,3,0),0)*(W87/W$78*W$11-W87))</f>
        <v>0</v>
      </c>
      <c r="X103" s="127">
        <f>IF(X$78=0,0,IFERROR(VLOOKUP(X30,Listen!$B$2:$E$13,3,0),0)*(X87/X$78*X$11-X87))</f>
        <v>0</v>
      </c>
      <c r="Y103" s="95"/>
      <c r="Z103" s="96"/>
      <c r="AA103" s="97"/>
    </row>
    <row r="104" spans="3:27" s="93" customFormat="1" ht="13.5" hidden="1" x14ac:dyDescent="0.25">
      <c r="C104" s="126" t="str">
        <f>$C$75</f>
        <v>Zone 4</v>
      </c>
      <c r="D104" s="106" t="s">
        <v>155</v>
      </c>
      <c r="E104" s="107">
        <f>IF(E$78=0,0,IFERROR(VLOOKUP(E33,Listen!$B$2:$E$13,3,0),0)*(E88/E$78*E$11-E88))</f>
        <v>0</v>
      </c>
      <c r="F104" s="107">
        <f>IF(F$78=0,0,IFERROR(VLOOKUP(F33,Listen!$B$2:$E$13,3,0),0)*(F88/F$78*F$11-F88))</f>
        <v>0</v>
      </c>
      <c r="G104" s="107">
        <f>IF(G$78=0,0,IFERROR(VLOOKUP(G33,Listen!$B$2:$E$13,3,0),0)*(G88/G$78*G$11-G88))</f>
        <v>0</v>
      </c>
      <c r="H104" s="107">
        <f>IF(H$78=0,0,IFERROR(VLOOKUP(H33,Listen!$B$2:$E$13,3,0),0)*(H88/H$78*H$11-H88))</f>
        <v>0</v>
      </c>
      <c r="I104" s="107">
        <f>IF(I$78=0,0,IFERROR(VLOOKUP(I33,Listen!$B$2:$E$13,3,0),0)*(I88/I$78*I$11-I88))</f>
        <v>0</v>
      </c>
      <c r="J104" s="107">
        <f>IF(J$78=0,0,IFERROR(VLOOKUP(J33,Listen!$B$2:$E$13,3,0),0)*(J88/J$78*J$11-J88))</f>
        <v>0</v>
      </c>
      <c r="K104" s="107">
        <f>IF(K$78=0,0,IFERROR(VLOOKUP(K33,Listen!$B$2:$E$13,3,0),0)*(K88/K$78*K$11-K88))</f>
        <v>0</v>
      </c>
      <c r="L104" s="107">
        <f>IF(L$78=0,0,IFERROR(VLOOKUP(L33,Listen!$B$2:$E$13,3,0),0)*(L88/L$78*L$11-L88))</f>
        <v>0</v>
      </c>
      <c r="M104" s="107">
        <f>IF(M$78=0,0,IFERROR(VLOOKUP(M33,Listen!$B$2:$E$13,3,0),0)*(M88/M$78*M$11-M88))</f>
        <v>0</v>
      </c>
      <c r="N104" s="107">
        <f>IF(N$78=0,0,IFERROR(VLOOKUP(N33,Listen!$B$2:$E$13,3,0),0)*(N88/N$78*N$11-N88))</f>
        <v>0</v>
      </c>
      <c r="O104" s="107">
        <f>IF(O$78=0,0,IFERROR(VLOOKUP(O33,Listen!$B$2:$E$13,3,0),0)*(O88/O$78*O$11-O88))</f>
        <v>0</v>
      </c>
      <c r="P104" s="107">
        <f>IF(P$78=0,0,IFERROR(VLOOKUP(P33,Listen!$B$2:$E$13,3,0),0)*(P88/P$78*P$11-P88))</f>
        <v>0</v>
      </c>
      <c r="Q104" s="107">
        <f>IF(Q$78=0,0,IFERROR(VLOOKUP(Q33,Listen!$B$2:$E$13,3,0),0)*(Q88/Q$78*Q$11-Q88))</f>
        <v>0</v>
      </c>
      <c r="R104" s="107">
        <f>IF(R$78=0,0,IFERROR(VLOOKUP(R33,Listen!$B$2:$E$13,3,0),0)*(R88/R$78*R$11-R88))</f>
        <v>0</v>
      </c>
      <c r="S104" s="107">
        <f>IF(S$78=0,0,IFERROR(VLOOKUP(S33,Listen!$B$2:$E$13,3,0),0)*(S88/S$78*S$11-S88))</f>
        <v>0</v>
      </c>
      <c r="T104" s="107">
        <f>IF(T$78=0,0,IFERROR(VLOOKUP(T33,Listen!$B$2:$E$13,3,0),0)*(T88/T$78*T$11-T88))</f>
        <v>0</v>
      </c>
      <c r="U104" s="107">
        <f>IF(U$78=0,0,IFERROR(VLOOKUP(U33,Listen!$B$2:$E$13,3,0),0)*(U88/U$78*U$11-U88))</f>
        <v>0</v>
      </c>
      <c r="V104" s="107">
        <f>IF(V$78=0,0,IFERROR(VLOOKUP(V33,Listen!$B$2:$E$13,3,0),0)*(V88/V$78*V$11-V88))</f>
        <v>0</v>
      </c>
      <c r="W104" s="107">
        <f>IF(W$78=0,0,IFERROR(VLOOKUP(W33,Listen!$B$2:$E$13,3,0),0)*(W88/W$78*W$11-W88))</f>
        <v>0</v>
      </c>
      <c r="X104" s="127">
        <f>IF(X$78=0,0,IFERROR(VLOOKUP(X33,Listen!$B$2:$E$13,3,0),0)*(X88/X$78*X$11-X88))</f>
        <v>0</v>
      </c>
      <c r="Y104" s="95"/>
      <c r="Z104" s="96"/>
      <c r="AA104" s="97"/>
    </row>
    <row r="105" spans="3:27" s="93" customFormat="1" ht="13.5" hidden="1" x14ac:dyDescent="0.25">
      <c r="C105" s="126" t="str">
        <f>$C$76</f>
        <v>Zone 5</v>
      </c>
      <c r="D105" s="106" t="s">
        <v>155</v>
      </c>
      <c r="E105" s="107">
        <f>IF(E$78=0,0,IFERROR(VLOOKUP(E36,Listen!$B$2:$E$13,3,0),0)*(E89/E$78*E$11-E89))</f>
        <v>0</v>
      </c>
      <c r="F105" s="107">
        <f>IF(F$78=0,0,IFERROR(VLOOKUP(F36,Listen!$B$2:$E$13,3,0),0)*(F89/F$78*F$11-F89))</f>
        <v>0</v>
      </c>
      <c r="G105" s="107">
        <f>IF(G$78=0,0,IFERROR(VLOOKUP(G36,Listen!$B$2:$E$13,3,0),0)*(G89/G$78*G$11-G89))</f>
        <v>0</v>
      </c>
      <c r="H105" s="107">
        <f>IF(H$78=0,0,IFERROR(VLOOKUP(H36,Listen!$B$2:$E$13,3,0),0)*(H89/H$78*H$11-H89))</f>
        <v>0</v>
      </c>
      <c r="I105" s="107">
        <f>IF(I$78=0,0,IFERROR(VLOOKUP(I36,Listen!$B$2:$E$13,3,0),0)*(I89/I$78*I$11-I89))</f>
        <v>0</v>
      </c>
      <c r="J105" s="107">
        <f>IF(J$78=0,0,IFERROR(VLOOKUP(J36,Listen!$B$2:$E$13,3,0),0)*(J89/J$78*J$11-J89))</f>
        <v>0</v>
      </c>
      <c r="K105" s="107">
        <f>IF(K$78=0,0,IFERROR(VLOOKUP(K36,Listen!$B$2:$E$13,3,0),0)*(K89/K$78*K$11-K89))</f>
        <v>0</v>
      </c>
      <c r="L105" s="107">
        <f>IF(L$78=0,0,IFERROR(VLOOKUP(L36,Listen!$B$2:$E$13,3,0),0)*(L89/L$78*L$11-L89))</f>
        <v>0</v>
      </c>
      <c r="M105" s="107">
        <f>IF(M$78=0,0,IFERROR(VLOOKUP(M36,Listen!$B$2:$E$13,3,0),0)*(M89/M$78*M$11-M89))</f>
        <v>0</v>
      </c>
      <c r="N105" s="107">
        <f>IF(N$78=0,0,IFERROR(VLOOKUP(N36,Listen!$B$2:$E$13,3,0),0)*(N89/N$78*N$11-N89))</f>
        <v>0</v>
      </c>
      <c r="O105" s="107">
        <f>IF(O$78=0,0,IFERROR(VLOOKUP(O36,Listen!$B$2:$E$13,3,0),0)*(O89/O$78*O$11-O89))</f>
        <v>0</v>
      </c>
      <c r="P105" s="107">
        <f>IF(P$78=0,0,IFERROR(VLOOKUP(P36,Listen!$B$2:$E$13,3,0),0)*(P89/P$78*P$11-P89))</f>
        <v>0</v>
      </c>
      <c r="Q105" s="107">
        <f>IF(Q$78=0,0,IFERROR(VLOOKUP(Q36,Listen!$B$2:$E$13,3,0),0)*(Q89/Q$78*Q$11-Q89))</f>
        <v>0</v>
      </c>
      <c r="R105" s="107">
        <f>IF(R$78=0,0,IFERROR(VLOOKUP(R36,Listen!$B$2:$E$13,3,0),0)*(R89/R$78*R$11-R89))</f>
        <v>0</v>
      </c>
      <c r="S105" s="107">
        <f>IF(S$78=0,0,IFERROR(VLOOKUP(S36,Listen!$B$2:$E$13,3,0),0)*(S89/S$78*S$11-S89))</f>
        <v>0</v>
      </c>
      <c r="T105" s="107">
        <f>IF(T$78=0,0,IFERROR(VLOOKUP(T36,Listen!$B$2:$E$13,3,0),0)*(T89/T$78*T$11-T89))</f>
        <v>0</v>
      </c>
      <c r="U105" s="107">
        <f>IF(U$78=0,0,IFERROR(VLOOKUP(U36,Listen!$B$2:$E$13,3,0),0)*(U89/U$78*U$11-U89))</f>
        <v>0</v>
      </c>
      <c r="V105" s="107">
        <f>IF(V$78=0,0,IFERROR(VLOOKUP(V36,Listen!$B$2:$E$13,3,0),0)*(V89/V$78*V$11-V89))</f>
        <v>0</v>
      </c>
      <c r="W105" s="107">
        <f>IF(W$78=0,0,IFERROR(VLOOKUP(W36,Listen!$B$2:$E$13,3,0),0)*(W89/W$78*W$11-W89))</f>
        <v>0</v>
      </c>
      <c r="X105" s="127">
        <f>IF(X$78=0,0,IFERROR(VLOOKUP(X36,Listen!$B$2:$E$13,3,0),0)*(X89/X$78*X$11-X89))</f>
        <v>0</v>
      </c>
      <c r="Y105" s="95"/>
      <c r="Z105" s="96"/>
      <c r="AA105" s="97"/>
    </row>
    <row r="106" spans="3:27" s="93" customFormat="1" ht="13.5" hidden="1" x14ac:dyDescent="0.25">
      <c r="C106" s="126" t="str">
        <f>$C$77</f>
        <v>Zone 6</v>
      </c>
      <c r="D106" s="106" t="s">
        <v>155</v>
      </c>
      <c r="E106" s="107">
        <f>IF(E$78=0,0,IFERROR(VLOOKUP(E39,Listen!$B$2:$E$13,3,0),0)*(E90/E$78*E$11-E90))</f>
        <v>0</v>
      </c>
      <c r="F106" s="107">
        <f>IF(F$78=0,0,IFERROR(VLOOKUP(F39,Listen!$B$2:$E$13,3,0),0)*(F90/F$78*F$11-F90))</f>
        <v>0</v>
      </c>
      <c r="G106" s="107">
        <f>IF(G$78=0,0,IFERROR(VLOOKUP(G39,Listen!$B$2:$E$13,3,0),0)*(G90/G$78*G$11-G90))</f>
        <v>0</v>
      </c>
      <c r="H106" s="107">
        <f>IF(H$78=0,0,IFERROR(VLOOKUP(H39,Listen!$B$2:$E$13,3,0),0)*(H90/H$78*H$11-H90))</f>
        <v>0</v>
      </c>
      <c r="I106" s="107">
        <f>IF(I$78=0,0,IFERROR(VLOOKUP(I39,Listen!$B$2:$E$13,3,0),0)*(I90/I$78*I$11-I90))</f>
        <v>0</v>
      </c>
      <c r="J106" s="107">
        <f>IF(J$78=0,0,IFERROR(VLOOKUP(J39,Listen!$B$2:$E$13,3,0),0)*(J90/J$78*J$11-J90))</f>
        <v>0</v>
      </c>
      <c r="K106" s="107">
        <f>IF(K$78=0,0,IFERROR(VLOOKUP(K39,Listen!$B$2:$E$13,3,0),0)*(K90/K$78*K$11-K90))</f>
        <v>0</v>
      </c>
      <c r="L106" s="107">
        <f>IF(L$78=0,0,IFERROR(VLOOKUP(L39,Listen!$B$2:$E$13,3,0),0)*(L90/L$78*L$11-L90))</f>
        <v>0</v>
      </c>
      <c r="M106" s="107">
        <f>IF(M$78=0,0,IFERROR(VLOOKUP(M39,Listen!$B$2:$E$13,3,0),0)*(M90/M$78*M$11-M90))</f>
        <v>0</v>
      </c>
      <c r="N106" s="107">
        <f>IF(N$78=0,0,IFERROR(VLOOKUP(N39,Listen!$B$2:$E$13,3,0),0)*(N90/N$78*N$11-N90))</f>
        <v>0</v>
      </c>
      <c r="O106" s="107">
        <f>IF(O$78=0,0,IFERROR(VLOOKUP(O39,Listen!$B$2:$E$13,3,0),0)*(O90/O$78*O$11-O90))</f>
        <v>0</v>
      </c>
      <c r="P106" s="107">
        <f>IF(P$78=0,0,IFERROR(VLOOKUP(P39,Listen!$B$2:$E$13,3,0),0)*(P90/P$78*P$11-P90))</f>
        <v>0</v>
      </c>
      <c r="Q106" s="107">
        <f>IF(Q$78=0,0,IFERROR(VLOOKUP(Q39,Listen!$B$2:$E$13,3,0),0)*(Q90/Q$78*Q$11-Q90))</f>
        <v>0</v>
      </c>
      <c r="R106" s="107">
        <f>IF(R$78=0,0,IFERROR(VLOOKUP(R39,Listen!$B$2:$E$13,3,0),0)*(R90/R$78*R$11-R90))</f>
        <v>0</v>
      </c>
      <c r="S106" s="107">
        <f>IF(S$78=0,0,IFERROR(VLOOKUP(S39,Listen!$B$2:$E$13,3,0),0)*(S90/S$78*S$11-S90))</f>
        <v>0</v>
      </c>
      <c r="T106" s="107">
        <f>IF(T$78=0,0,IFERROR(VLOOKUP(T39,Listen!$B$2:$E$13,3,0),0)*(T90/T$78*T$11-T90))</f>
        <v>0</v>
      </c>
      <c r="U106" s="107">
        <f>IF(U$78=0,0,IFERROR(VLOOKUP(U39,Listen!$B$2:$E$13,3,0),0)*(U90/U$78*U$11-U90))</f>
        <v>0</v>
      </c>
      <c r="V106" s="107">
        <f>IF(V$78=0,0,IFERROR(VLOOKUP(V39,Listen!$B$2:$E$13,3,0),0)*(V90/V$78*V$11-V90))</f>
        <v>0</v>
      </c>
      <c r="W106" s="107">
        <f>IF(W$78=0,0,IFERROR(VLOOKUP(W39,Listen!$B$2:$E$13,3,0),0)*(W90/W$78*W$11-W90))</f>
        <v>0</v>
      </c>
      <c r="X106" s="127">
        <f>IF(X$78=0,0,IFERROR(VLOOKUP(X39,Listen!$B$2:$E$13,3,0),0)*(X90/X$78*X$11-X90))</f>
        <v>0</v>
      </c>
      <c r="Y106" s="95"/>
      <c r="Z106" s="96"/>
      <c r="AA106" s="97"/>
    </row>
    <row r="107" spans="3:27" s="93" customFormat="1" ht="13.5" hidden="1" x14ac:dyDescent="0.25">
      <c r="C107" s="128" t="str">
        <f>Uebersetzung!$D$40&amp;" "&amp;Uebersetzung!$D$155&amp;" "</f>
        <v xml:space="preserve">Anforderung kalt </v>
      </c>
      <c r="D107" s="110" t="s">
        <v>155</v>
      </c>
      <c r="E107" s="111">
        <f>SUM(E101:E106)</f>
        <v>0</v>
      </c>
      <c r="F107" s="111">
        <f t="shared" ref="F107:X107" si="123">SUM(F101:F106)</f>
        <v>0</v>
      </c>
      <c r="G107" s="111">
        <f t="shared" si="123"/>
        <v>0</v>
      </c>
      <c r="H107" s="111">
        <f t="shared" si="123"/>
        <v>0</v>
      </c>
      <c r="I107" s="111">
        <f t="shared" si="123"/>
        <v>0</v>
      </c>
      <c r="J107" s="111">
        <f t="shared" si="123"/>
        <v>0</v>
      </c>
      <c r="K107" s="111">
        <f t="shared" si="123"/>
        <v>0</v>
      </c>
      <c r="L107" s="111">
        <f t="shared" si="123"/>
        <v>0</v>
      </c>
      <c r="M107" s="111">
        <f t="shared" si="123"/>
        <v>0</v>
      </c>
      <c r="N107" s="111">
        <f t="shared" si="123"/>
        <v>0</v>
      </c>
      <c r="O107" s="111">
        <f t="shared" si="123"/>
        <v>0</v>
      </c>
      <c r="P107" s="111">
        <f t="shared" si="123"/>
        <v>0</v>
      </c>
      <c r="Q107" s="111">
        <f t="shared" si="123"/>
        <v>0</v>
      </c>
      <c r="R107" s="111">
        <f t="shared" si="123"/>
        <v>0</v>
      </c>
      <c r="S107" s="111">
        <f t="shared" si="123"/>
        <v>0</v>
      </c>
      <c r="T107" s="111">
        <f t="shared" si="123"/>
        <v>0</v>
      </c>
      <c r="U107" s="111">
        <f t="shared" si="123"/>
        <v>0</v>
      </c>
      <c r="V107" s="111">
        <f t="shared" si="123"/>
        <v>0</v>
      </c>
      <c r="W107" s="111">
        <f t="shared" si="123"/>
        <v>0</v>
      </c>
      <c r="X107" s="129">
        <f t="shared" si="123"/>
        <v>0</v>
      </c>
      <c r="Y107" s="95"/>
      <c r="Z107" s="113">
        <f>SUM(E107:X107)</f>
        <v>0</v>
      </c>
      <c r="AA107" s="114" t="str">
        <f>Uebersetzung!D$38</f>
        <v>Summe</v>
      </c>
    </row>
    <row r="108" spans="3:27" s="93" customFormat="1" ht="19.149999999999999" hidden="1" customHeight="1" x14ac:dyDescent="0.2">
      <c r="C108" s="122" t="str">
        <f>Uebersetzung!$D$40&amp;" "&amp;Uebersetzung!$D$154&amp;" ("&amp;Uebersetzung!D159&amp;")"</f>
        <v>Anforderung warm (EBF)</v>
      </c>
      <c r="D108" s="95"/>
      <c r="E108" s="89"/>
      <c r="F108" s="89"/>
      <c r="G108" s="89"/>
      <c r="H108" s="89"/>
      <c r="I108" s="89"/>
      <c r="J108" s="89"/>
      <c r="K108" s="89"/>
      <c r="L108" s="89"/>
      <c r="M108" s="89"/>
      <c r="N108" s="89"/>
      <c r="O108" s="89"/>
      <c r="P108" s="89"/>
      <c r="Q108" s="89"/>
      <c r="R108" s="89"/>
      <c r="S108" s="89"/>
      <c r="T108" s="89"/>
      <c r="U108" s="89"/>
      <c r="V108" s="89"/>
      <c r="W108" s="89"/>
      <c r="X108" s="123"/>
      <c r="Y108" s="95"/>
      <c r="Z108" s="96"/>
      <c r="AA108" s="97"/>
    </row>
    <row r="109" spans="3:27" s="93" customFormat="1" ht="13.5" hidden="1" x14ac:dyDescent="0.25">
      <c r="C109" s="124" t="str">
        <f>$C$72</f>
        <v>Zone 1</v>
      </c>
      <c r="D109" s="103" t="s">
        <v>155</v>
      </c>
      <c r="E109" s="79">
        <f>IFERROR(VLOOKUP(E24,Listen!$B$2:$E$13,2,0),0)*E85</f>
        <v>0</v>
      </c>
      <c r="F109" s="78">
        <f>IFERROR(VLOOKUP(F24,Listen!$B$2:$E$13,2,0),0)*F85</f>
        <v>0</v>
      </c>
      <c r="G109" s="78">
        <f>IFERROR(VLOOKUP(G24,Listen!$B$2:$E$13,2,0),0)*G85</f>
        <v>0</v>
      </c>
      <c r="H109" s="78">
        <f>IFERROR(VLOOKUP(H24,Listen!$B$2:$E$13,2,0),0)*H85</f>
        <v>0</v>
      </c>
      <c r="I109" s="78">
        <f>IFERROR(VLOOKUP(I24,Listen!$B$2:$E$13,2,0),0)*I85</f>
        <v>0</v>
      </c>
      <c r="J109" s="78">
        <f>IFERROR(VLOOKUP(J24,Listen!$B$2:$E$13,2,0),0)*J85</f>
        <v>0</v>
      </c>
      <c r="K109" s="78">
        <f>IFERROR(VLOOKUP(K24,Listen!$B$2:$E$13,2,0),0)*K85</f>
        <v>0</v>
      </c>
      <c r="L109" s="78">
        <f>IFERROR(VLOOKUP(L24,Listen!$B$2:$E$13,2,0),0)*L85</f>
        <v>0</v>
      </c>
      <c r="M109" s="78">
        <f>IFERROR(VLOOKUP(M24,Listen!$B$2:$E$13,2,0),0)*M85</f>
        <v>0</v>
      </c>
      <c r="N109" s="78">
        <f>IFERROR(VLOOKUP(N24,Listen!$B$2:$E$13,2,0),0)*N85</f>
        <v>0</v>
      </c>
      <c r="O109" s="78">
        <f>IFERROR(VLOOKUP(O24,Listen!$B$2:$E$13,2,0),0)*O85</f>
        <v>0</v>
      </c>
      <c r="P109" s="78">
        <f>IFERROR(VLOOKUP(P24,Listen!$B$2:$E$13,2,0),0)*P85</f>
        <v>0</v>
      </c>
      <c r="Q109" s="78">
        <f>IFERROR(VLOOKUP(Q24,Listen!$B$2:$E$13,2,0),0)*Q85</f>
        <v>0</v>
      </c>
      <c r="R109" s="78">
        <f>IFERROR(VLOOKUP(R24,Listen!$B$2:$E$13,2,0),0)*R85</f>
        <v>0</v>
      </c>
      <c r="S109" s="78">
        <f>IFERROR(VLOOKUP(S24,Listen!$B$2:$E$13,2,0),0)*S85</f>
        <v>0</v>
      </c>
      <c r="T109" s="78">
        <f>IFERROR(VLOOKUP(T24,Listen!$B$2:$E$13,2,0),0)*T85</f>
        <v>0</v>
      </c>
      <c r="U109" s="78">
        <f>IFERROR(VLOOKUP(U24,Listen!$B$2:$E$13,2,0),0)*U85</f>
        <v>0</v>
      </c>
      <c r="V109" s="78">
        <f>IFERROR(VLOOKUP(V24,Listen!$B$2:$E$13,2,0),0)*V85</f>
        <v>0</v>
      </c>
      <c r="W109" s="78">
        <f>IFERROR(VLOOKUP(W24,Listen!$B$2:$E$13,2,0),0)*W85</f>
        <v>0</v>
      </c>
      <c r="X109" s="125">
        <f>IFERROR(VLOOKUP(X24,Listen!$B$2:$E$13,2,0),0)*X85</f>
        <v>0</v>
      </c>
      <c r="Y109" s="95"/>
      <c r="Z109" s="96"/>
      <c r="AA109" s="97"/>
    </row>
    <row r="110" spans="3:27" s="93" customFormat="1" ht="13.5" hidden="1" x14ac:dyDescent="0.25">
      <c r="C110" s="126" t="str">
        <f>$C$73</f>
        <v>Zone 2</v>
      </c>
      <c r="D110" s="106" t="s">
        <v>155</v>
      </c>
      <c r="E110" s="87">
        <f>IFERROR(VLOOKUP(E27,Listen!$B$2:$E$13,2,0),0)*E86</f>
        <v>0</v>
      </c>
      <c r="F110" s="107">
        <f>IFERROR(VLOOKUP(F27,Listen!$B$2:$E$13,2,0),0)*F86</f>
        <v>0</v>
      </c>
      <c r="G110" s="107">
        <f>IFERROR(VLOOKUP(G27,Listen!$B$2:$E$13,2,0),0)*G86</f>
        <v>0</v>
      </c>
      <c r="H110" s="107">
        <f>IFERROR(VLOOKUP(H27,Listen!$B$2:$E$13,2,0),0)*H86</f>
        <v>0</v>
      </c>
      <c r="I110" s="107">
        <f>IFERROR(VLOOKUP(I27,Listen!$B$2:$E$13,2,0),0)*I86</f>
        <v>0</v>
      </c>
      <c r="J110" s="107">
        <f>IFERROR(VLOOKUP(J27,Listen!$B$2:$E$13,2,0),0)*J86</f>
        <v>0</v>
      </c>
      <c r="K110" s="107">
        <f>IFERROR(VLOOKUP(K27,Listen!$B$2:$E$13,2,0),0)*K86</f>
        <v>0</v>
      </c>
      <c r="L110" s="107">
        <f>IFERROR(VLOOKUP(L27,Listen!$B$2:$E$13,2,0),0)*L86</f>
        <v>0</v>
      </c>
      <c r="M110" s="107">
        <f>IFERROR(VLOOKUP(M27,Listen!$B$2:$E$13,2,0),0)*M86</f>
        <v>0</v>
      </c>
      <c r="N110" s="107">
        <f>IFERROR(VLOOKUP(N27,Listen!$B$2:$E$13,2,0),0)*N86</f>
        <v>0</v>
      </c>
      <c r="O110" s="107">
        <f>IFERROR(VLOOKUP(O27,Listen!$B$2:$E$13,2,0),0)*O86</f>
        <v>0</v>
      </c>
      <c r="P110" s="107">
        <f>IFERROR(VLOOKUP(P27,Listen!$B$2:$E$13,2,0),0)*P86</f>
        <v>0</v>
      </c>
      <c r="Q110" s="107">
        <f>IFERROR(VLOOKUP(Q27,Listen!$B$2:$E$13,2,0),0)*Q86</f>
        <v>0</v>
      </c>
      <c r="R110" s="107">
        <f>IFERROR(VLOOKUP(R27,Listen!$B$2:$E$13,2,0),0)*R86</f>
        <v>0</v>
      </c>
      <c r="S110" s="107">
        <f>IFERROR(VLOOKUP(S27,Listen!$B$2:$E$13,2,0),0)*S86</f>
        <v>0</v>
      </c>
      <c r="T110" s="107">
        <f>IFERROR(VLOOKUP(T27,Listen!$B$2:$E$13,2,0),0)*T86</f>
        <v>0</v>
      </c>
      <c r="U110" s="107">
        <f>IFERROR(VLOOKUP(U27,Listen!$B$2:$E$13,2,0),0)*U86</f>
        <v>0</v>
      </c>
      <c r="V110" s="107">
        <f>IFERROR(VLOOKUP(V27,Listen!$B$2:$E$13,2,0),0)*V86</f>
        <v>0</v>
      </c>
      <c r="W110" s="107">
        <f>IFERROR(VLOOKUP(W27,Listen!$B$2:$E$13,2,0),0)*W86</f>
        <v>0</v>
      </c>
      <c r="X110" s="127">
        <f>IFERROR(VLOOKUP(X27,Listen!$B$2:$E$13,2,0),0)*X86</f>
        <v>0</v>
      </c>
      <c r="Y110" s="95"/>
      <c r="Z110" s="96"/>
      <c r="AA110" s="97"/>
    </row>
    <row r="111" spans="3:27" s="93" customFormat="1" ht="13.5" hidden="1" x14ac:dyDescent="0.25">
      <c r="C111" s="126" t="str">
        <f>$C$74</f>
        <v>Zone 3</v>
      </c>
      <c r="D111" s="106" t="s">
        <v>155</v>
      </c>
      <c r="E111" s="87">
        <f>IFERROR(VLOOKUP(E30,Listen!$B$2:$E$13,2,0),0)*E87</f>
        <v>0</v>
      </c>
      <c r="F111" s="107">
        <f>IFERROR(VLOOKUP(F30,Listen!$B$2:$E$13,2,0),0)*F87</f>
        <v>0</v>
      </c>
      <c r="G111" s="107">
        <f>IFERROR(VLOOKUP(G30,Listen!$B$2:$E$13,2,0),0)*G87</f>
        <v>0</v>
      </c>
      <c r="H111" s="107">
        <f>IFERROR(VLOOKUP(H30,Listen!$B$2:$E$13,2,0),0)*H87</f>
        <v>0</v>
      </c>
      <c r="I111" s="107">
        <f>IFERROR(VLOOKUP(I30,Listen!$B$2:$E$13,2,0),0)*I87</f>
        <v>0</v>
      </c>
      <c r="J111" s="107">
        <f>IFERROR(VLOOKUP(J30,Listen!$B$2:$E$13,2,0),0)*J87</f>
        <v>0</v>
      </c>
      <c r="K111" s="107">
        <f>IFERROR(VLOOKUP(K30,Listen!$B$2:$E$13,2,0),0)*K87</f>
        <v>0</v>
      </c>
      <c r="L111" s="107">
        <f>IFERROR(VLOOKUP(L30,Listen!$B$2:$E$13,2,0),0)*L87</f>
        <v>0</v>
      </c>
      <c r="M111" s="107">
        <f>IFERROR(VLOOKUP(M30,Listen!$B$2:$E$13,2,0),0)*M87</f>
        <v>0</v>
      </c>
      <c r="N111" s="107">
        <f>IFERROR(VLOOKUP(N30,Listen!$B$2:$E$13,2,0),0)*N87</f>
        <v>0</v>
      </c>
      <c r="O111" s="107">
        <f>IFERROR(VLOOKUP(O30,Listen!$B$2:$E$13,2,0),0)*O87</f>
        <v>0</v>
      </c>
      <c r="P111" s="107">
        <f>IFERROR(VLOOKUP(P30,Listen!$B$2:$E$13,2,0),0)*P87</f>
        <v>0</v>
      </c>
      <c r="Q111" s="107">
        <f>IFERROR(VLOOKUP(Q30,Listen!$B$2:$E$13,2,0),0)*Q87</f>
        <v>0</v>
      </c>
      <c r="R111" s="107">
        <f>IFERROR(VLOOKUP(R30,Listen!$B$2:$E$13,2,0),0)*R87</f>
        <v>0</v>
      </c>
      <c r="S111" s="107">
        <f>IFERROR(VLOOKUP(S30,Listen!$B$2:$E$13,2,0),0)*S87</f>
        <v>0</v>
      </c>
      <c r="T111" s="107">
        <f>IFERROR(VLOOKUP(T30,Listen!$B$2:$E$13,2,0),0)*T87</f>
        <v>0</v>
      </c>
      <c r="U111" s="107">
        <f>IFERROR(VLOOKUP(U30,Listen!$B$2:$E$13,2,0),0)*U87</f>
        <v>0</v>
      </c>
      <c r="V111" s="107">
        <f>IFERROR(VLOOKUP(V30,Listen!$B$2:$E$13,2,0),0)*V87</f>
        <v>0</v>
      </c>
      <c r="W111" s="107">
        <f>IFERROR(VLOOKUP(W30,Listen!$B$2:$E$13,2,0),0)*W87</f>
        <v>0</v>
      </c>
      <c r="X111" s="127">
        <f>IFERROR(VLOOKUP(X30,Listen!$B$2:$E$13,2,0),0)*X87</f>
        <v>0</v>
      </c>
      <c r="Y111" s="95"/>
      <c r="Z111" s="96"/>
      <c r="AA111" s="97"/>
    </row>
    <row r="112" spans="3:27" s="93" customFormat="1" ht="13.5" hidden="1" x14ac:dyDescent="0.25">
      <c r="C112" s="126" t="str">
        <f>$C$75</f>
        <v>Zone 4</v>
      </c>
      <c r="D112" s="106" t="s">
        <v>155</v>
      </c>
      <c r="E112" s="87">
        <f>IFERROR(VLOOKUP(E33,Listen!$B$2:$E$13,2,0),0)*E88</f>
        <v>0</v>
      </c>
      <c r="F112" s="107">
        <f>IFERROR(VLOOKUP(F33,Listen!$B$2:$E$13,2,0),0)*F88</f>
        <v>0</v>
      </c>
      <c r="G112" s="107">
        <f>IFERROR(VLOOKUP(G33,Listen!$B$2:$E$13,2,0),0)*G88</f>
        <v>0</v>
      </c>
      <c r="H112" s="107">
        <f>IFERROR(VLOOKUP(H33,Listen!$B$2:$E$13,2,0),0)*H88</f>
        <v>0</v>
      </c>
      <c r="I112" s="107">
        <f>IFERROR(VLOOKUP(I33,Listen!$B$2:$E$13,2,0),0)*I88</f>
        <v>0</v>
      </c>
      <c r="J112" s="107">
        <f>IFERROR(VLOOKUP(J33,Listen!$B$2:$E$13,2,0),0)*J88</f>
        <v>0</v>
      </c>
      <c r="K112" s="107">
        <f>IFERROR(VLOOKUP(K33,Listen!$B$2:$E$13,2,0),0)*K88</f>
        <v>0</v>
      </c>
      <c r="L112" s="107">
        <f>IFERROR(VLOOKUP(L33,Listen!$B$2:$E$13,2,0),0)*L88</f>
        <v>0</v>
      </c>
      <c r="M112" s="107">
        <f>IFERROR(VLOOKUP(M33,Listen!$B$2:$E$13,2,0),0)*M88</f>
        <v>0</v>
      </c>
      <c r="N112" s="107">
        <f>IFERROR(VLOOKUP(N33,Listen!$B$2:$E$13,2,0),0)*N88</f>
        <v>0</v>
      </c>
      <c r="O112" s="107">
        <f>IFERROR(VLOOKUP(O33,Listen!$B$2:$E$13,2,0),0)*O88</f>
        <v>0</v>
      </c>
      <c r="P112" s="107">
        <f>IFERROR(VLOOKUP(P33,Listen!$B$2:$E$13,2,0),0)*P88</f>
        <v>0</v>
      </c>
      <c r="Q112" s="107">
        <f>IFERROR(VLOOKUP(Q33,Listen!$B$2:$E$13,2,0),0)*Q88</f>
        <v>0</v>
      </c>
      <c r="R112" s="107">
        <f>IFERROR(VLOOKUP(R33,Listen!$B$2:$E$13,2,0),0)*R88</f>
        <v>0</v>
      </c>
      <c r="S112" s="107">
        <f>IFERROR(VLOOKUP(S33,Listen!$B$2:$E$13,2,0),0)*S88</f>
        <v>0</v>
      </c>
      <c r="T112" s="107">
        <f>IFERROR(VLOOKUP(T33,Listen!$B$2:$E$13,2,0),0)*T88</f>
        <v>0</v>
      </c>
      <c r="U112" s="107">
        <f>IFERROR(VLOOKUP(U33,Listen!$B$2:$E$13,2,0),0)*U88</f>
        <v>0</v>
      </c>
      <c r="V112" s="107">
        <f>IFERROR(VLOOKUP(V33,Listen!$B$2:$E$13,2,0),0)*V88</f>
        <v>0</v>
      </c>
      <c r="W112" s="107">
        <f>IFERROR(VLOOKUP(W33,Listen!$B$2:$E$13,2,0),0)*W88</f>
        <v>0</v>
      </c>
      <c r="X112" s="127">
        <f>IFERROR(VLOOKUP(X33,Listen!$B$2:$E$13,2,0),0)*X88</f>
        <v>0</v>
      </c>
      <c r="Y112" s="95"/>
      <c r="Z112" s="96"/>
      <c r="AA112" s="97"/>
    </row>
    <row r="113" spans="3:27" s="93" customFormat="1" ht="13.5" hidden="1" x14ac:dyDescent="0.25">
      <c r="C113" s="126" t="str">
        <f>$C$76</f>
        <v>Zone 5</v>
      </c>
      <c r="D113" s="106" t="s">
        <v>155</v>
      </c>
      <c r="E113" s="87">
        <f>IFERROR(VLOOKUP(E36,Listen!$B$2:$E$13,2,0),0)*E89</f>
        <v>0</v>
      </c>
      <c r="F113" s="107">
        <f>IFERROR(VLOOKUP(F36,Listen!$B$2:$E$13,2,0),0)*F89</f>
        <v>0</v>
      </c>
      <c r="G113" s="107">
        <f>IFERROR(VLOOKUP(G36,Listen!$B$2:$E$13,2,0),0)*G89</f>
        <v>0</v>
      </c>
      <c r="H113" s="107">
        <f>IFERROR(VLOOKUP(H36,Listen!$B$2:$E$13,2,0),0)*H89</f>
        <v>0</v>
      </c>
      <c r="I113" s="107">
        <f>IFERROR(VLOOKUP(I36,Listen!$B$2:$E$13,2,0),0)*I89</f>
        <v>0</v>
      </c>
      <c r="J113" s="107">
        <f>IFERROR(VLOOKUP(J36,Listen!$B$2:$E$13,2,0),0)*J89</f>
        <v>0</v>
      </c>
      <c r="K113" s="107">
        <f>IFERROR(VLOOKUP(K36,Listen!$B$2:$E$13,2,0),0)*K89</f>
        <v>0</v>
      </c>
      <c r="L113" s="107">
        <f>IFERROR(VLOOKUP(L36,Listen!$B$2:$E$13,2,0),0)*L89</f>
        <v>0</v>
      </c>
      <c r="M113" s="107">
        <f>IFERROR(VLOOKUP(M36,Listen!$B$2:$E$13,2,0),0)*M89</f>
        <v>0</v>
      </c>
      <c r="N113" s="107">
        <f>IFERROR(VLOOKUP(N36,Listen!$B$2:$E$13,2,0),0)*N89</f>
        <v>0</v>
      </c>
      <c r="O113" s="107">
        <f>IFERROR(VLOOKUP(O36,Listen!$B$2:$E$13,2,0),0)*O89</f>
        <v>0</v>
      </c>
      <c r="P113" s="107">
        <f>IFERROR(VLOOKUP(P36,Listen!$B$2:$E$13,2,0),0)*P89</f>
        <v>0</v>
      </c>
      <c r="Q113" s="107">
        <f>IFERROR(VLOOKUP(Q36,Listen!$B$2:$E$13,2,0),0)*Q89</f>
        <v>0</v>
      </c>
      <c r="R113" s="107">
        <f>IFERROR(VLOOKUP(R36,Listen!$B$2:$E$13,2,0),0)*R89</f>
        <v>0</v>
      </c>
      <c r="S113" s="107">
        <f>IFERROR(VLOOKUP(S36,Listen!$B$2:$E$13,2,0),0)*S89</f>
        <v>0</v>
      </c>
      <c r="T113" s="107">
        <f>IFERROR(VLOOKUP(T36,Listen!$B$2:$E$13,2,0),0)*T89</f>
        <v>0</v>
      </c>
      <c r="U113" s="107">
        <f>IFERROR(VLOOKUP(U36,Listen!$B$2:$E$13,2,0),0)*U89</f>
        <v>0</v>
      </c>
      <c r="V113" s="107">
        <f>IFERROR(VLOOKUP(V36,Listen!$B$2:$E$13,2,0),0)*V89</f>
        <v>0</v>
      </c>
      <c r="W113" s="107">
        <f>IFERROR(VLOOKUP(W36,Listen!$B$2:$E$13,2,0),0)*W89</f>
        <v>0</v>
      </c>
      <c r="X113" s="127">
        <f>IFERROR(VLOOKUP(X36,Listen!$B$2:$E$13,2,0),0)*X89</f>
        <v>0</v>
      </c>
      <c r="Y113" s="95"/>
      <c r="Z113" s="96"/>
      <c r="AA113" s="97"/>
    </row>
    <row r="114" spans="3:27" s="93" customFormat="1" ht="13.5" hidden="1" x14ac:dyDescent="0.25">
      <c r="C114" s="126" t="str">
        <f>$C$77</f>
        <v>Zone 6</v>
      </c>
      <c r="D114" s="106" t="s">
        <v>155</v>
      </c>
      <c r="E114" s="87">
        <f>IFERROR(VLOOKUP(E39,Listen!$B$2:$E$13,2,0),0)*E90</f>
        <v>0</v>
      </c>
      <c r="F114" s="107">
        <f>IFERROR(VLOOKUP(F39,Listen!$B$2:$E$13,2,0),0)*F90</f>
        <v>0</v>
      </c>
      <c r="G114" s="107">
        <f>IFERROR(VLOOKUP(G39,Listen!$B$2:$E$13,2,0),0)*G90</f>
        <v>0</v>
      </c>
      <c r="H114" s="107">
        <f>IFERROR(VLOOKUP(H39,Listen!$B$2:$E$13,2,0),0)*H90</f>
        <v>0</v>
      </c>
      <c r="I114" s="107">
        <f>IFERROR(VLOOKUP(I39,Listen!$B$2:$E$13,2,0),0)*I90</f>
        <v>0</v>
      </c>
      <c r="J114" s="107">
        <f>IFERROR(VLOOKUP(J39,Listen!$B$2:$E$13,2,0),0)*J90</f>
        <v>0</v>
      </c>
      <c r="K114" s="107">
        <f>IFERROR(VLOOKUP(K39,Listen!$B$2:$E$13,2,0),0)*K90</f>
        <v>0</v>
      </c>
      <c r="L114" s="107">
        <f>IFERROR(VLOOKUP(L39,Listen!$B$2:$E$13,2,0),0)*L90</f>
        <v>0</v>
      </c>
      <c r="M114" s="107">
        <f>IFERROR(VLOOKUP(M39,Listen!$B$2:$E$13,2,0),0)*M90</f>
        <v>0</v>
      </c>
      <c r="N114" s="107">
        <f>IFERROR(VLOOKUP(N39,Listen!$B$2:$E$13,2,0),0)*N90</f>
        <v>0</v>
      </c>
      <c r="O114" s="107">
        <f>IFERROR(VLOOKUP(O39,Listen!$B$2:$E$13,2,0),0)*O90</f>
        <v>0</v>
      </c>
      <c r="P114" s="107">
        <f>IFERROR(VLOOKUP(P39,Listen!$B$2:$E$13,2,0),0)*P90</f>
        <v>0</v>
      </c>
      <c r="Q114" s="107">
        <f>IFERROR(VLOOKUP(Q39,Listen!$B$2:$E$13,2,0),0)*Q90</f>
        <v>0</v>
      </c>
      <c r="R114" s="107">
        <f>IFERROR(VLOOKUP(R39,Listen!$B$2:$E$13,2,0),0)*R90</f>
        <v>0</v>
      </c>
      <c r="S114" s="107">
        <f>IFERROR(VLOOKUP(S39,Listen!$B$2:$E$13,2,0),0)*S90</f>
        <v>0</v>
      </c>
      <c r="T114" s="107">
        <f>IFERROR(VLOOKUP(T39,Listen!$B$2:$E$13,2,0),0)*T90</f>
        <v>0</v>
      </c>
      <c r="U114" s="107">
        <f>IFERROR(VLOOKUP(U39,Listen!$B$2:$E$13,2,0),0)*U90</f>
        <v>0</v>
      </c>
      <c r="V114" s="107">
        <f>IFERROR(VLOOKUP(V39,Listen!$B$2:$E$13,2,0),0)*V90</f>
        <v>0</v>
      </c>
      <c r="W114" s="107">
        <f>IFERROR(VLOOKUP(W39,Listen!$B$2:$E$13,2,0),0)*W90</f>
        <v>0</v>
      </c>
      <c r="X114" s="127">
        <f>IFERROR(VLOOKUP(X39,Listen!$B$2:$E$13,2,0),0)*X90</f>
        <v>0</v>
      </c>
      <c r="Y114" s="95"/>
      <c r="Z114" s="96"/>
      <c r="AA114" s="97"/>
    </row>
    <row r="115" spans="3:27" s="93" customFormat="1" ht="13.5" hidden="1" x14ac:dyDescent="0.25">
      <c r="C115" s="128" t="str">
        <f>Uebersetzung!$D$40&amp;" "&amp;Uebersetzung!$D$154&amp;" "</f>
        <v xml:space="preserve">Anforderung warm </v>
      </c>
      <c r="D115" s="110" t="s">
        <v>155</v>
      </c>
      <c r="E115" s="88">
        <f>SUM(E109:E114)</f>
        <v>0</v>
      </c>
      <c r="F115" s="111">
        <f t="shared" ref="F115:X115" si="124">SUM(F109:F114)</f>
        <v>0</v>
      </c>
      <c r="G115" s="111">
        <f t="shared" si="124"/>
        <v>0</v>
      </c>
      <c r="H115" s="111">
        <f t="shared" si="124"/>
        <v>0</v>
      </c>
      <c r="I115" s="111">
        <f t="shared" si="124"/>
        <v>0</v>
      </c>
      <c r="J115" s="111">
        <f t="shared" si="124"/>
        <v>0</v>
      </c>
      <c r="K115" s="111">
        <f t="shared" si="124"/>
        <v>0</v>
      </c>
      <c r="L115" s="111">
        <f t="shared" si="124"/>
        <v>0</v>
      </c>
      <c r="M115" s="111">
        <f t="shared" si="124"/>
        <v>0</v>
      </c>
      <c r="N115" s="111">
        <f t="shared" si="124"/>
        <v>0</v>
      </c>
      <c r="O115" s="111">
        <f t="shared" si="124"/>
        <v>0</v>
      </c>
      <c r="P115" s="111">
        <f t="shared" si="124"/>
        <v>0</v>
      </c>
      <c r="Q115" s="111">
        <f t="shared" si="124"/>
        <v>0</v>
      </c>
      <c r="R115" s="111">
        <f t="shared" si="124"/>
        <v>0</v>
      </c>
      <c r="S115" s="111">
        <f t="shared" si="124"/>
        <v>0</v>
      </c>
      <c r="T115" s="111">
        <f t="shared" si="124"/>
        <v>0</v>
      </c>
      <c r="U115" s="111">
        <f t="shared" si="124"/>
        <v>0</v>
      </c>
      <c r="V115" s="111">
        <f t="shared" si="124"/>
        <v>0</v>
      </c>
      <c r="W115" s="111">
        <f t="shared" si="124"/>
        <v>0</v>
      </c>
      <c r="X115" s="129">
        <f t="shared" si="124"/>
        <v>0</v>
      </c>
      <c r="Y115" s="95"/>
      <c r="Z115" s="96"/>
      <c r="AA115" s="97"/>
    </row>
    <row r="116" spans="3:27" s="93" customFormat="1" ht="19.149999999999999" hidden="1" customHeight="1" x14ac:dyDescent="0.2">
      <c r="C116" s="122" t="str">
        <f>Uebersetzung!D121&amp;" "&amp;Uebersetzung!D115&amp;" / "&amp;Uebersetzung!D116</f>
        <v>Zuschlag PV-Anlage / Thermische Solarkollektoren</v>
      </c>
      <c r="D116" s="95"/>
      <c r="E116" s="89"/>
      <c r="F116" s="89"/>
      <c r="G116" s="89"/>
      <c r="H116" s="89"/>
      <c r="I116" s="89"/>
      <c r="J116" s="89"/>
      <c r="K116" s="89"/>
      <c r="L116" s="89"/>
      <c r="M116" s="89"/>
      <c r="N116" s="89"/>
      <c r="O116" s="89"/>
      <c r="P116" s="89"/>
      <c r="Q116" s="89"/>
      <c r="R116" s="89"/>
      <c r="S116" s="89"/>
      <c r="T116" s="89"/>
      <c r="U116" s="89"/>
      <c r="V116" s="89"/>
      <c r="W116" s="89"/>
      <c r="X116" s="123"/>
      <c r="Y116" s="95"/>
      <c r="Z116" s="96"/>
      <c r="AA116" s="97"/>
    </row>
    <row r="117" spans="3:27" s="93" customFormat="1" ht="13.5" hidden="1" x14ac:dyDescent="0.25">
      <c r="C117" s="124" t="str">
        <f>$C$72</f>
        <v>Zone 1</v>
      </c>
      <c r="D117" s="103" t="s">
        <v>155</v>
      </c>
      <c r="E117" s="78">
        <f>IF(E$91=0,0,SUM(E$133:E$134)/E$91*E85)</f>
        <v>0</v>
      </c>
      <c r="F117" s="78">
        <f t="shared" ref="F117:X117" si="125">IF(F$91=0,0,SUM(F$133:F$134)/F$91*F85)</f>
        <v>0</v>
      </c>
      <c r="G117" s="78">
        <f t="shared" si="125"/>
        <v>0</v>
      </c>
      <c r="H117" s="78">
        <f t="shared" si="125"/>
        <v>0</v>
      </c>
      <c r="I117" s="78">
        <f t="shared" si="125"/>
        <v>0</v>
      </c>
      <c r="J117" s="78">
        <f t="shared" si="125"/>
        <v>0</v>
      </c>
      <c r="K117" s="78">
        <f t="shared" si="125"/>
        <v>0</v>
      </c>
      <c r="L117" s="78">
        <f t="shared" si="125"/>
        <v>0</v>
      </c>
      <c r="M117" s="78">
        <f t="shared" si="125"/>
        <v>0</v>
      </c>
      <c r="N117" s="78">
        <f t="shared" si="125"/>
        <v>0</v>
      </c>
      <c r="O117" s="78">
        <f t="shared" si="125"/>
        <v>0</v>
      </c>
      <c r="P117" s="78">
        <f t="shared" si="125"/>
        <v>0</v>
      </c>
      <c r="Q117" s="78">
        <f t="shared" si="125"/>
        <v>0</v>
      </c>
      <c r="R117" s="78">
        <f t="shared" si="125"/>
        <v>0</v>
      </c>
      <c r="S117" s="78">
        <f t="shared" si="125"/>
        <v>0</v>
      </c>
      <c r="T117" s="78">
        <f t="shared" si="125"/>
        <v>0</v>
      </c>
      <c r="U117" s="78">
        <f t="shared" si="125"/>
        <v>0</v>
      </c>
      <c r="V117" s="78">
        <f t="shared" si="125"/>
        <v>0</v>
      </c>
      <c r="W117" s="78">
        <f t="shared" si="125"/>
        <v>0</v>
      </c>
      <c r="X117" s="125">
        <f t="shared" si="125"/>
        <v>0</v>
      </c>
      <c r="Y117" s="95"/>
      <c r="Z117" s="96"/>
      <c r="AA117" s="97"/>
    </row>
    <row r="118" spans="3:27" s="93" customFormat="1" ht="13.5" hidden="1" x14ac:dyDescent="0.25">
      <c r="C118" s="126" t="str">
        <f>$C$73</f>
        <v>Zone 2</v>
      </c>
      <c r="D118" s="106" t="s">
        <v>155</v>
      </c>
      <c r="E118" s="107">
        <f t="shared" ref="E118:X118" si="126">IF(E$91=0,0,SUM(E$133:E$134)/E$91*E86)</f>
        <v>0</v>
      </c>
      <c r="F118" s="107">
        <f t="shared" si="126"/>
        <v>0</v>
      </c>
      <c r="G118" s="107">
        <f t="shared" si="126"/>
        <v>0</v>
      </c>
      <c r="H118" s="107">
        <f t="shared" si="126"/>
        <v>0</v>
      </c>
      <c r="I118" s="107">
        <f t="shared" si="126"/>
        <v>0</v>
      </c>
      <c r="J118" s="107">
        <f t="shared" si="126"/>
        <v>0</v>
      </c>
      <c r="K118" s="107">
        <f t="shared" si="126"/>
        <v>0</v>
      </c>
      <c r="L118" s="107">
        <f t="shared" si="126"/>
        <v>0</v>
      </c>
      <c r="M118" s="107">
        <f t="shared" si="126"/>
        <v>0</v>
      </c>
      <c r="N118" s="107">
        <f t="shared" si="126"/>
        <v>0</v>
      </c>
      <c r="O118" s="107">
        <f t="shared" si="126"/>
        <v>0</v>
      </c>
      <c r="P118" s="107">
        <f t="shared" si="126"/>
        <v>0</v>
      </c>
      <c r="Q118" s="107">
        <f t="shared" si="126"/>
        <v>0</v>
      </c>
      <c r="R118" s="107">
        <f t="shared" si="126"/>
        <v>0</v>
      </c>
      <c r="S118" s="107">
        <f t="shared" si="126"/>
        <v>0</v>
      </c>
      <c r="T118" s="107">
        <f t="shared" si="126"/>
        <v>0</v>
      </c>
      <c r="U118" s="107">
        <f t="shared" si="126"/>
        <v>0</v>
      </c>
      <c r="V118" s="107">
        <f t="shared" si="126"/>
        <v>0</v>
      </c>
      <c r="W118" s="107">
        <f t="shared" si="126"/>
        <v>0</v>
      </c>
      <c r="X118" s="127">
        <f t="shared" si="126"/>
        <v>0</v>
      </c>
      <c r="Y118" s="95"/>
      <c r="Z118" s="96"/>
      <c r="AA118" s="97"/>
    </row>
    <row r="119" spans="3:27" s="93" customFormat="1" ht="13.5" hidden="1" x14ac:dyDescent="0.25">
      <c r="C119" s="126" t="str">
        <f>$C$74</f>
        <v>Zone 3</v>
      </c>
      <c r="D119" s="106" t="s">
        <v>155</v>
      </c>
      <c r="E119" s="107">
        <f t="shared" ref="E119:X119" si="127">IF(E$91=0,0,SUM(E$133:E$134)/E$91*E87)</f>
        <v>0</v>
      </c>
      <c r="F119" s="107">
        <f t="shared" si="127"/>
        <v>0</v>
      </c>
      <c r="G119" s="107">
        <f t="shared" si="127"/>
        <v>0</v>
      </c>
      <c r="H119" s="107">
        <f t="shared" si="127"/>
        <v>0</v>
      </c>
      <c r="I119" s="107">
        <f t="shared" si="127"/>
        <v>0</v>
      </c>
      <c r="J119" s="107">
        <f t="shared" si="127"/>
        <v>0</v>
      </c>
      <c r="K119" s="107">
        <f t="shared" si="127"/>
        <v>0</v>
      </c>
      <c r="L119" s="107">
        <f t="shared" si="127"/>
        <v>0</v>
      </c>
      <c r="M119" s="107">
        <f t="shared" si="127"/>
        <v>0</v>
      </c>
      <c r="N119" s="107">
        <f t="shared" si="127"/>
        <v>0</v>
      </c>
      <c r="O119" s="107">
        <f t="shared" si="127"/>
        <v>0</v>
      </c>
      <c r="P119" s="107">
        <f t="shared" si="127"/>
        <v>0</v>
      </c>
      <c r="Q119" s="107">
        <f t="shared" si="127"/>
        <v>0</v>
      </c>
      <c r="R119" s="107">
        <f t="shared" si="127"/>
        <v>0</v>
      </c>
      <c r="S119" s="107">
        <f t="shared" si="127"/>
        <v>0</v>
      </c>
      <c r="T119" s="107">
        <f t="shared" si="127"/>
        <v>0</v>
      </c>
      <c r="U119" s="107">
        <f t="shared" si="127"/>
        <v>0</v>
      </c>
      <c r="V119" s="107">
        <f t="shared" si="127"/>
        <v>0</v>
      </c>
      <c r="W119" s="107">
        <f t="shared" si="127"/>
        <v>0</v>
      </c>
      <c r="X119" s="127">
        <f t="shared" si="127"/>
        <v>0</v>
      </c>
      <c r="Y119" s="95"/>
      <c r="Z119" s="96"/>
      <c r="AA119" s="97"/>
    </row>
    <row r="120" spans="3:27" s="93" customFormat="1" ht="13.5" hidden="1" x14ac:dyDescent="0.25">
      <c r="C120" s="126" t="str">
        <f>$C$75</f>
        <v>Zone 4</v>
      </c>
      <c r="D120" s="106" t="s">
        <v>155</v>
      </c>
      <c r="E120" s="107">
        <f t="shared" ref="E120:X120" si="128">IF(E$91=0,0,SUM(E$133:E$134)/E$91*E88)</f>
        <v>0</v>
      </c>
      <c r="F120" s="107">
        <f t="shared" si="128"/>
        <v>0</v>
      </c>
      <c r="G120" s="107">
        <f t="shared" si="128"/>
        <v>0</v>
      </c>
      <c r="H120" s="107">
        <f t="shared" si="128"/>
        <v>0</v>
      </c>
      <c r="I120" s="107">
        <f t="shared" si="128"/>
        <v>0</v>
      </c>
      <c r="J120" s="107">
        <f t="shared" si="128"/>
        <v>0</v>
      </c>
      <c r="K120" s="107">
        <f t="shared" si="128"/>
        <v>0</v>
      </c>
      <c r="L120" s="107">
        <f t="shared" si="128"/>
        <v>0</v>
      </c>
      <c r="M120" s="107">
        <f t="shared" si="128"/>
        <v>0</v>
      </c>
      <c r="N120" s="107">
        <f t="shared" si="128"/>
        <v>0</v>
      </c>
      <c r="O120" s="107">
        <f t="shared" si="128"/>
        <v>0</v>
      </c>
      <c r="P120" s="107">
        <f t="shared" si="128"/>
        <v>0</v>
      </c>
      <c r="Q120" s="107">
        <f t="shared" si="128"/>
        <v>0</v>
      </c>
      <c r="R120" s="107">
        <f t="shared" si="128"/>
        <v>0</v>
      </c>
      <c r="S120" s="107">
        <f t="shared" si="128"/>
        <v>0</v>
      </c>
      <c r="T120" s="107">
        <f t="shared" si="128"/>
        <v>0</v>
      </c>
      <c r="U120" s="107">
        <f t="shared" si="128"/>
        <v>0</v>
      </c>
      <c r="V120" s="107">
        <f t="shared" si="128"/>
        <v>0</v>
      </c>
      <c r="W120" s="107">
        <f t="shared" si="128"/>
        <v>0</v>
      </c>
      <c r="X120" s="127">
        <f t="shared" si="128"/>
        <v>0</v>
      </c>
      <c r="Y120" s="95"/>
      <c r="Z120" s="96"/>
      <c r="AA120" s="97"/>
    </row>
    <row r="121" spans="3:27" s="93" customFormat="1" ht="13.5" hidden="1" x14ac:dyDescent="0.25">
      <c r="C121" s="126" t="str">
        <f>$C$76</f>
        <v>Zone 5</v>
      </c>
      <c r="D121" s="106" t="s">
        <v>155</v>
      </c>
      <c r="E121" s="107">
        <f t="shared" ref="E121:X121" si="129">IF(E$91=0,0,SUM(E$133:E$134)/E$91*E89)</f>
        <v>0</v>
      </c>
      <c r="F121" s="107">
        <f t="shared" si="129"/>
        <v>0</v>
      </c>
      <c r="G121" s="107">
        <f t="shared" si="129"/>
        <v>0</v>
      </c>
      <c r="H121" s="107">
        <f t="shared" si="129"/>
        <v>0</v>
      </c>
      <c r="I121" s="107">
        <f t="shared" si="129"/>
        <v>0</v>
      </c>
      <c r="J121" s="107">
        <f t="shared" si="129"/>
        <v>0</v>
      </c>
      <c r="K121" s="107">
        <f t="shared" si="129"/>
        <v>0</v>
      </c>
      <c r="L121" s="107">
        <f t="shared" si="129"/>
        <v>0</v>
      </c>
      <c r="M121" s="107">
        <f t="shared" si="129"/>
        <v>0</v>
      </c>
      <c r="N121" s="107">
        <f t="shared" si="129"/>
        <v>0</v>
      </c>
      <c r="O121" s="107">
        <f t="shared" si="129"/>
        <v>0</v>
      </c>
      <c r="P121" s="107">
        <f t="shared" si="129"/>
        <v>0</v>
      </c>
      <c r="Q121" s="107">
        <f t="shared" si="129"/>
        <v>0</v>
      </c>
      <c r="R121" s="107">
        <f t="shared" si="129"/>
        <v>0</v>
      </c>
      <c r="S121" s="107">
        <f t="shared" si="129"/>
        <v>0</v>
      </c>
      <c r="T121" s="107">
        <f t="shared" si="129"/>
        <v>0</v>
      </c>
      <c r="U121" s="107">
        <f t="shared" si="129"/>
        <v>0</v>
      </c>
      <c r="V121" s="107">
        <f t="shared" si="129"/>
        <v>0</v>
      </c>
      <c r="W121" s="107">
        <f t="shared" si="129"/>
        <v>0</v>
      </c>
      <c r="X121" s="127">
        <f t="shared" si="129"/>
        <v>0</v>
      </c>
      <c r="Y121" s="95"/>
      <c r="Z121" s="96"/>
      <c r="AA121" s="97"/>
    </row>
    <row r="122" spans="3:27" s="93" customFormat="1" ht="13.5" hidden="1" x14ac:dyDescent="0.25">
      <c r="C122" s="126" t="str">
        <f>$C$77</f>
        <v>Zone 6</v>
      </c>
      <c r="D122" s="106" t="s">
        <v>155</v>
      </c>
      <c r="E122" s="107">
        <f t="shared" ref="E122:X122" si="130">IF(E$91=0,0,SUM(E$133:E$134)/E$91*E90)</f>
        <v>0</v>
      </c>
      <c r="F122" s="107">
        <f t="shared" si="130"/>
        <v>0</v>
      </c>
      <c r="G122" s="107">
        <f t="shared" si="130"/>
        <v>0</v>
      </c>
      <c r="H122" s="107">
        <f t="shared" si="130"/>
        <v>0</v>
      </c>
      <c r="I122" s="107">
        <f t="shared" si="130"/>
        <v>0</v>
      </c>
      <c r="J122" s="107">
        <f t="shared" si="130"/>
        <v>0</v>
      </c>
      <c r="K122" s="107">
        <f t="shared" si="130"/>
        <v>0</v>
      </c>
      <c r="L122" s="107">
        <f t="shared" si="130"/>
        <v>0</v>
      </c>
      <c r="M122" s="107">
        <f t="shared" si="130"/>
        <v>0</v>
      </c>
      <c r="N122" s="107">
        <f t="shared" si="130"/>
        <v>0</v>
      </c>
      <c r="O122" s="107">
        <f t="shared" si="130"/>
        <v>0</v>
      </c>
      <c r="P122" s="107">
        <f t="shared" si="130"/>
        <v>0</v>
      </c>
      <c r="Q122" s="107">
        <f t="shared" si="130"/>
        <v>0</v>
      </c>
      <c r="R122" s="107">
        <f t="shared" si="130"/>
        <v>0</v>
      </c>
      <c r="S122" s="107">
        <f t="shared" si="130"/>
        <v>0</v>
      </c>
      <c r="T122" s="107">
        <f t="shared" si="130"/>
        <v>0</v>
      </c>
      <c r="U122" s="107">
        <f t="shared" si="130"/>
        <v>0</v>
      </c>
      <c r="V122" s="107">
        <f t="shared" si="130"/>
        <v>0</v>
      </c>
      <c r="W122" s="107">
        <f t="shared" si="130"/>
        <v>0</v>
      </c>
      <c r="X122" s="127">
        <f t="shared" si="130"/>
        <v>0</v>
      </c>
      <c r="Y122" s="95"/>
      <c r="Z122" s="96"/>
      <c r="AA122" s="97"/>
    </row>
    <row r="123" spans="3:27" s="93" customFormat="1" ht="13.5" hidden="1" x14ac:dyDescent="0.25">
      <c r="C123" s="128" t="str">
        <f>C116</f>
        <v>Zuschlag PV-Anlage / Thermische Solarkollektoren</v>
      </c>
      <c r="D123" s="110" t="s">
        <v>155</v>
      </c>
      <c r="E123" s="111">
        <f>SUM(E117:E122)</f>
        <v>0</v>
      </c>
      <c r="F123" s="111">
        <f t="shared" ref="F123:X123" si="131">SUM(F117:F122)</f>
        <v>0</v>
      </c>
      <c r="G123" s="111">
        <f t="shared" si="131"/>
        <v>0</v>
      </c>
      <c r="H123" s="111">
        <f t="shared" si="131"/>
        <v>0</v>
      </c>
      <c r="I123" s="111">
        <f t="shared" si="131"/>
        <v>0</v>
      </c>
      <c r="J123" s="111">
        <f t="shared" si="131"/>
        <v>0</v>
      </c>
      <c r="K123" s="111">
        <f t="shared" si="131"/>
        <v>0</v>
      </c>
      <c r="L123" s="111">
        <f t="shared" si="131"/>
        <v>0</v>
      </c>
      <c r="M123" s="111">
        <f t="shared" si="131"/>
        <v>0</v>
      </c>
      <c r="N123" s="111">
        <f t="shared" si="131"/>
        <v>0</v>
      </c>
      <c r="O123" s="111">
        <f t="shared" si="131"/>
        <v>0</v>
      </c>
      <c r="P123" s="111">
        <f t="shared" si="131"/>
        <v>0</v>
      </c>
      <c r="Q123" s="111">
        <f t="shared" si="131"/>
        <v>0</v>
      </c>
      <c r="R123" s="111">
        <f t="shared" si="131"/>
        <v>0</v>
      </c>
      <c r="S123" s="111">
        <f t="shared" si="131"/>
        <v>0</v>
      </c>
      <c r="T123" s="111">
        <f t="shared" si="131"/>
        <v>0</v>
      </c>
      <c r="U123" s="111">
        <f t="shared" si="131"/>
        <v>0</v>
      </c>
      <c r="V123" s="111">
        <f t="shared" si="131"/>
        <v>0</v>
      </c>
      <c r="W123" s="111">
        <f t="shared" si="131"/>
        <v>0</v>
      </c>
      <c r="X123" s="129">
        <f t="shared" si="131"/>
        <v>0</v>
      </c>
      <c r="Y123" s="95"/>
      <c r="Z123" s="96"/>
      <c r="AA123" s="97"/>
    </row>
    <row r="124" spans="3:27" s="93" customFormat="1" ht="19.149999999999999" hidden="1" customHeight="1" x14ac:dyDescent="0.2">
      <c r="C124" s="122" t="str">
        <f>Uebersetzung!D121&amp;" "&amp;Uebersetzung!D117&amp;" / "&amp;Uebersetzung!D35</f>
        <v>Zuschlag Erdsonde / Abschlag Rückbau</v>
      </c>
      <c r="D124" s="95"/>
      <c r="E124" s="89"/>
      <c r="F124" s="89"/>
      <c r="G124" s="89"/>
      <c r="H124" s="89"/>
      <c r="I124" s="89"/>
      <c r="J124" s="89"/>
      <c r="K124" s="89"/>
      <c r="L124" s="89"/>
      <c r="M124" s="89"/>
      <c r="N124" s="89"/>
      <c r="O124" s="89"/>
      <c r="P124" s="89"/>
      <c r="Q124" s="89"/>
      <c r="R124" s="89"/>
      <c r="S124" s="89"/>
      <c r="T124" s="89"/>
      <c r="U124" s="89"/>
      <c r="V124" s="89"/>
      <c r="W124" s="89"/>
      <c r="X124" s="123"/>
      <c r="Y124" s="95"/>
      <c r="Z124" s="96"/>
      <c r="AA124" s="97"/>
    </row>
    <row r="125" spans="3:27" s="93" customFormat="1" ht="13.5" hidden="1" x14ac:dyDescent="0.25">
      <c r="C125" s="124" t="str">
        <f>$C$72</f>
        <v>Zone 1</v>
      </c>
      <c r="D125" s="103" t="s">
        <v>155</v>
      </c>
      <c r="E125" s="78">
        <f>IF(E$91=0,0,(E$135-E$136)/E$91*E85)</f>
        <v>0</v>
      </c>
      <c r="F125" s="78">
        <f t="shared" ref="F125:X125" si="132">IF(F$91=0,0,(F$135-F$136)/F$91*F85)</f>
        <v>0</v>
      </c>
      <c r="G125" s="78">
        <f t="shared" si="132"/>
        <v>0</v>
      </c>
      <c r="H125" s="78">
        <f t="shared" si="132"/>
        <v>0</v>
      </c>
      <c r="I125" s="78">
        <f t="shared" si="132"/>
        <v>0</v>
      </c>
      <c r="J125" s="78">
        <f t="shared" si="132"/>
        <v>0</v>
      </c>
      <c r="K125" s="78">
        <f t="shared" si="132"/>
        <v>0</v>
      </c>
      <c r="L125" s="78">
        <f t="shared" si="132"/>
        <v>0</v>
      </c>
      <c r="M125" s="78">
        <f t="shared" si="132"/>
        <v>0</v>
      </c>
      <c r="N125" s="78">
        <f t="shared" si="132"/>
        <v>0</v>
      </c>
      <c r="O125" s="78">
        <f t="shared" si="132"/>
        <v>0</v>
      </c>
      <c r="P125" s="78">
        <f t="shared" si="132"/>
        <v>0</v>
      </c>
      <c r="Q125" s="78">
        <f t="shared" si="132"/>
        <v>0</v>
      </c>
      <c r="R125" s="78">
        <f t="shared" si="132"/>
        <v>0</v>
      </c>
      <c r="S125" s="78">
        <f t="shared" si="132"/>
        <v>0</v>
      </c>
      <c r="T125" s="78">
        <f t="shared" si="132"/>
        <v>0</v>
      </c>
      <c r="U125" s="78">
        <f t="shared" si="132"/>
        <v>0</v>
      </c>
      <c r="V125" s="78">
        <f t="shared" si="132"/>
        <v>0</v>
      </c>
      <c r="W125" s="78">
        <f t="shared" si="132"/>
        <v>0</v>
      </c>
      <c r="X125" s="125">
        <f t="shared" si="132"/>
        <v>0</v>
      </c>
      <c r="Y125" s="95"/>
      <c r="Z125" s="96"/>
      <c r="AA125" s="97"/>
    </row>
    <row r="126" spans="3:27" s="93" customFormat="1" ht="13.5" hidden="1" x14ac:dyDescent="0.25">
      <c r="C126" s="126" t="str">
        <f>$C$73</f>
        <v>Zone 2</v>
      </c>
      <c r="D126" s="106" t="s">
        <v>155</v>
      </c>
      <c r="E126" s="107">
        <f t="shared" ref="E126:E130" si="133">IF(E$91=0,0,(E$135-E$136)/E$91*E86)</f>
        <v>0</v>
      </c>
      <c r="F126" s="107">
        <f t="shared" ref="F126:X126" si="134">IF(F$91=0,0,(F$135-F$136)/F$91*F86)</f>
        <v>0</v>
      </c>
      <c r="G126" s="107">
        <f t="shared" si="134"/>
        <v>0</v>
      </c>
      <c r="H126" s="107">
        <f t="shared" si="134"/>
        <v>0</v>
      </c>
      <c r="I126" s="107">
        <f t="shared" si="134"/>
        <v>0</v>
      </c>
      <c r="J126" s="107">
        <f t="shared" si="134"/>
        <v>0</v>
      </c>
      <c r="K126" s="107">
        <f t="shared" si="134"/>
        <v>0</v>
      </c>
      <c r="L126" s="107">
        <f t="shared" si="134"/>
        <v>0</v>
      </c>
      <c r="M126" s="107">
        <f t="shared" si="134"/>
        <v>0</v>
      </c>
      <c r="N126" s="107">
        <f t="shared" si="134"/>
        <v>0</v>
      </c>
      <c r="O126" s="107">
        <f t="shared" si="134"/>
        <v>0</v>
      </c>
      <c r="P126" s="107">
        <f t="shared" si="134"/>
        <v>0</v>
      </c>
      <c r="Q126" s="107">
        <f t="shared" si="134"/>
        <v>0</v>
      </c>
      <c r="R126" s="107">
        <f t="shared" si="134"/>
        <v>0</v>
      </c>
      <c r="S126" s="107">
        <f t="shared" si="134"/>
        <v>0</v>
      </c>
      <c r="T126" s="107">
        <f t="shared" si="134"/>
        <v>0</v>
      </c>
      <c r="U126" s="107">
        <f t="shared" si="134"/>
        <v>0</v>
      </c>
      <c r="V126" s="107">
        <f t="shared" si="134"/>
        <v>0</v>
      </c>
      <c r="W126" s="107">
        <f t="shared" si="134"/>
        <v>0</v>
      </c>
      <c r="X126" s="127">
        <f t="shared" si="134"/>
        <v>0</v>
      </c>
      <c r="Y126" s="95"/>
      <c r="Z126" s="96"/>
      <c r="AA126" s="97"/>
    </row>
    <row r="127" spans="3:27" s="93" customFormat="1" ht="13.5" hidden="1" x14ac:dyDescent="0.25">
      <c r="C127" s="126" t="str">
        <f>$C$74</f>
        <v>Zone 3</v>
      </c>
      <c r="D127" s="106" t="s">
        <v>155</v>
      </c>
      <c r="E127" s="107">
        <f t="shared" si="133"/>
        <v>0</v>
      </c>
      <c r="F127" s="107">
        <f t="shared" ref="F127:X127" si="135">IF(F$91=0,0,(F$135-F$136)/F$91*F87)</f>
        <v>0</v>
      </c>
      <c r="G127" s="107">
        <f t="shared" si="135"/>
        <v>0</v>
      </c>
      <c r="H127" s="107">
        <f t="shared" si="135"/>
        <v>0</v>
      </c>
      <c r="I127" s="107">
        <f t="shared" si="135"/>
        <v>0</v>
      </c>
      <c r="J127" s="107">
        <f t="shared" si="135"/>
        <v>0</v>
      </c>
      <c r="K127" s="107">
        <f t="shared" si="135"/>
        <v>0</v>
      </c>
      <c r="L127" s="107">
        <f t="shared" si="135"/>
        <v>0</v>
      </c>
      <c r="M127" s="107">
        <f t="shared" si="135"/>
        <v>0</v>
      </c>
      <c r="N127" s="107">
        <f t="shared" si="135"/>
        <v>0</v>
      </c>
      <c r="O127" s="107">
        <f t="shared" si="135"/>
        <v>0</v>
      </c>
      <c r="P127" s="107">
        <f t="shared" si="135"/>
        <v>0</v>
      </c>
      <c r="Q127" s="107">
        <f t="shared" si="135"/>
        <v>0</v>
      </c>
      <c r="R127" s="107">
        <f t="shared" si="135"/>
        <v>0</v>
      </c>
      <c r="S127" s="107">
        <f t="shared" si="135"/>
        <v>0</v>
      </c>
      <c r="T127" s="107">
        <f t="shared" si="135"/>
        <v>0</v>
      </c>
      <c r="U127" s="107">
        <f t="shared" si="135"/>
        <v>0</v>
      </c>
      <c r="V127" s="107">
        <f t="shared" si="135"/>
        <v>0</v>
      </c>
      <c r="W127" s="107">
        <f t="shared" si="135"/>
        <v>0</v>
      </c>
      <c r="X127" s="127">
        <f t="shared" si="135"/>
        <v>0</v>
      </c>
      <c r="Y127" s="95"/>
      <c r="Z127" s="96"/>
      <c r="AA127" s="97"/>
    </row>
    <row r="128" spans="3:27" s="93" customFormat="1" ht="13.5" hidden="1" x14ac:dyDescent="0.25">
      <c r="C128" s="126" t="str">
        <f>$C$75</f>
        <v>Zone 4</v>
      </c>
      <c r="D128" s="106" t="s">
        <v>155</v>
      </c>
      <c r="E128" s="107">
        <f t="shared" si="133"/>
        <v>0</v>
      </c>
      <c r="F128" s="107">
        <f t="shared" ref="F128:X128" si="136">IF(F$91=0,0,(F$135-F$136)/F$91*F88)</f>
        <v>0</v>
      </c>
      <c r="G128" s="107">
        <f>IF(G$91=0,0,(G$135-G$136)/G$91*G88)</f>
        <v>0</v>
      </c>
      <c r="H128" s="107">
        <f t="shared" si="136"/>
        <v>0</v>
      </c>
      <c r="I128" s="107">
        <f t="shared" si="136"/>
        <v>0</v>
      </c>
      <c r="J128" s="107">
        <f t="shared" si="136"/>
        <v>0</v>
      </c>
      <c r="K128" s="107">
        <f t="shared" si="136"/>
        <v>0</v>
      </c>
      <c r="L128" s="107">
        <f t="shared" si="136"/>
        <v>0</v>
      </c>
      <c r="M128" s="107">
        <f t="shared" si="136"/>
        <v>0</v>
      </c>
      <c r="N128" s="107">
        <f t="shared" si="136"/>
        <v>0</v>
      </c>
      <c r="O128" s="107">
        <f t="shared" si="136"/>
        <v>0</v>
      </c>
      <c r="P128" s="107">
        <f t="shared" si="136"/>
        <v>0</v>
      </c>
      <c r="Q128" s="107">
        <f t="shared" si="136"/>
        <v>0</v>
      </c>
      <c r="R128" s="107">
        <f t="shared" si="136"/>
        <v>0</v>
      </c>
      <c r="S128" s="107">
        <f t="shared" si="136"/>
        <v>0</v>
      </c>
      <c r="T128" s="107">
        <f t="shared" si="136"/>
        <v>0</v>
      </c>
      <c r="U128" s="107">
        <f t="shared" si="136"/>
        <v>0</v>
      </c>
      <c r="V128" s="107">
        <f t="shared" si="136"/>
        <v>0</v>
      </c>
      <c r="W128" s="107">
        <f t="shared" si="136"/>
        <v>0</v>
      </c>
      <c r="X128" s="127">
        <f t="shared" si="136"/>
        <v>0</v>
      </c>
      <c r="Y128" s="95"/>
      <c r="Z128" s="96"/>
      <c r="AA128" s="97"/>
    </row>
    <row r="129" spans="3:27" s="93" customFormat="1" ht="13.5" hidden="1" x14ac:dyDescent="0.25">
      <c r="C129" s="126" t="str">
        <f>$C$76</f>
        <v>Zone 5</v>
      </c>
      <c r="D129" s="106" t="s">
        <v>155</v>
      </c>
      <c r="E129" s="107">
        <f t="shared" si="133"/>
        <v>0</v>
      </c>
      <c r="F129" s="107">
        <f t="shared" ref="F129:X129" si="137">IF(F$91=0,0,(F$135-F$136)/F$91*F89)</f>
        <v>0</v>
      </c>
      <c r="G129" s="107">
        <f t="shared" si="137"/>
        <v>0</v>
      </c>
      <c r="H129" s="107">
        <f t="shared" si="137"/>
        <v>0</v>
      </c>
      <c r="I129" s="107">
        <f t="shared" si="137"/>
        <v>0</v>
      </c>
      <c r="J129" s="107">
        <f t="shared" si="137"/>
        <v>0</v>
      </c>
      <c r="K129" s="107">
        <f t="shared" si="137"/>
        <v>0</v>
      </c>
      <c r="L129" s="107">
        <f t="shared" si="137"/>
        <v>0</v>
      </c>
      <c r="M129" s="107">
        <f t="shared" si="137"/>
        <v>0</v>
      </c>
      <c r="N129" s="107">
        <f t="shared" si="137"/>
        <v>0</v>
      </c>
      <c r="O129" s="107">
        <f t="shared" si="137"/>
        <v>0</v>
      </c>
      <c r="P129" s="107">
        <f t="shared" si="137"/>
        <v>0</v>
      </c>
      <c r="Q129" s="107">
        <f t="shared" si="137"/>
        <v>0</v>
      </c>
      <c r="R129" s="107">
        <f t="shared" si="137"/>
        <v>0</v>
      </c>
      <c r="S129" s="107">
        <f t="shared" si="137"/>
        <v>0</v>
      </c>
      <c r="T129" s="107">
        <f t="shared" si="137"/>
        <v>0</v>
      </c>
      <c r="U129" s="107">
        <f t="shared" si="137"/>
        <v>0</v>
      </c>
      <c r="V129" s="107">
        <f t="shared" si="137"/>
        <v>0</v>
      </c>
      <c r="W129" s="107">
        <f t="shared" si="137"/>
        <v>0</v>
      </c>
      <c r="X129" s="127">
        <f t="shared" si="137"/>
        <v>0</v>
      </c>
      <c r="Y129" s="95"/>
      <c r="Z129" s="96"/>
      <c r="AA129" s="97"/>
    </row>
    <row r="130" spans="3:27" s="93" customFormat="1" ht="13.5" hidden="1" x14ac:dyDescent="0.25">
      <c r="C130" s="126" t="str">
        <f>$C$77</f>
        <v>Zone 6</v>
      </c>
      <c r="D130" s="106" t="s">
        <v>155</v>
      </c>
      <c r="E130" s="107">
        <f t="shared" si="133"/>
        <v>0</v>
      </c>
      <c r="F130" s="107">
        <f t="shared" ref="F130:X130" si="138">IF(F$91=0,0,(F$135-F$136)/F$91*F90)</f>
        <v>0</v>
      </c>
      <c r="G130" s="107">
        <f t="shared" si="138"/>
        <v>0</v>
      </c>
      <c r="H130" s="107">
        <f t="shared" si="138"/>
        <v>0</v>
      </c>
      <c r="I130" s="107">
        <f t="shared" si="138"/>
        <v>0</v>
      </c>
      <c r="J130" s="107">
        <f t="shared" si="138"/>
        <v>0</v>
      </c>
      <c r="K130" s="107">
        <f t="shared" si="138"/>
        <v>0</v>
      </c>
      <c r="L130" s="107">
        <f t="shared" si="138"/>
        <v>0</v>
      </c>
      <c r="M130" s="107">
        <f t="shared" si="138"/>
        <v>0</v>
      </c>
      <c r="N130" s="107">
        <f t="shared" si="138"/>
        <v>0</v>
      </c>
      <c r="O130" s="107">
        <f t="shared" si="138"/>
        <v>0</v>
      </c>
      <c r="P130" s="107">
        <f t="shared" si="138"/>
        <v>0</v>
      </c>
      <c r="Q130" s="107">
        <f t="shared" si="138"/>
        <v>0</v>
      </c>
      <c r="R130" s="107">
        <f t="shared" si="138"/>
        <v>0</v>
      </c>
      <c r="S130" s="107">
        <f t="shared" si="138"/>
        <v>0</v>
      </c>
      <c r="T130" s="107">
        <f t="shared" si="138"/>
        <v>0</v>
      </c>
      <c r="U130" s="107">
        <f t="shared" si="138"/>
        <v>0</v>
      </c>
      <c r="V130" s="107">
        <f t="shared" si="138"/>
        <v>0</v>
      </c>
      <c r="W130" s="107">
        <f t="shared" si="138"/>
        <v>0</v>
      </c>
      <c r="X130" s="127">
        <f t="shared" si="138"/>
        <v>0</v>
      </c>
      <c r="Y130" s="95"/>
      <c r="Z130" s="96"/>
      <c r="AA130" s="97"/>
    </row>
    <row r="131" spans="3:27" s="93" customFormat="1" ht="13.5" hidden="1" x14ac:dyDescent="0.25">
      <c r="C131" s="128" t="str">
        <f>C124</f>
        <v>Zuschlag Erdsonde / Abschlag Rückbau</v>
      </c>
      <c r="D131" s="110" t="s">
        <v>155</v>
      </c>
      <c r="E131" s="111">
        <f>SUM(E125:E130)</f>
        <v>0</v>
      </c>
      <c r="F131" s="111">
        <f t="shared" ref="F131" si="139">SUM(F125:F130)</f>
        <v>0</v>
      </c>
      <c r="G131" s="111">
        <f t="shared" ref="G131" si="140">SUM(G125:G130)</f>
        <v>0</v>
      </c>
      <c r="H131" s="111">
        <f t="shared" ref="H131" si="141">SUM(H125:H130)</f>
        <v>0</v>
      </c>
      <c r="I131" s="111">
        <f t="shared" ref="I131" si="142">SUM(I125:I130)</f>
        <v>0</v>
      </c>
      <c r="J131" s="111">
        <f t="shared" ref="J131" si="143">SUM(J125:J130)</f>
        <v>0</v>
      </c>
      <c r="K131" s="111">
        <f t="shared" ref="K131" si="144">SUM(K125:K130)</f>
        <v>0</v>
      </c>
      <c r="L131" s="111">
        <f t="shared" ref="L131" si="145">SUM(L125:L130)</f>
        <v>0</v>
      </c>
      <c r="M131" s="111">
        <f t="shared" ref="M131" si="146">SUM(M125:M130)</f>
        <v>0</v>
      </c>
      <c r="N131" s="111">
        <f t="shared" ref="N131" si="147">SUM(N125:N130)</f>
        <v>0</v>
      </c>
      <c r="O131" s="111">
        <f t="shared" ref="O131" si="148">SUM(O125:O130)</f>
        <v>0</v>
      </c>
      <c r="P131" s="111">
        <f t="shared" ref="P131" si="149">SUM(P125:P130)</f>
        <v>0</v>
      </c>
      <c r="Q131" s="111">
        <f t="shared" ref="Q131" si="150">SUM(Q125:Q130)</f>
        <v>0</v>
      </c>
      <c r="R131" s="111">
        <f t="shared" ref="R131" si="151">SUM(R125:R130)</f>
        <v>0</v>
      </c>
      <c r="S131" s="111">
        <f t="shared" ref="S131" si="152">SUM(S125:S130)</f>
        <v>0</v>
      </c>
      <c r="T131" s="111">
        <f t="shared" ref="T131" si="153">SUM(T125:T130)</f>
        <v>0</v>
      </c>
      <c r="U131" s="111">
        <f t="shared" ref="U131" si="154">SUM(U125:U130)</f>
        <v>0</v>
      </c>
      <c r="V131" s="111">
        <f t="shared" ref="V131" si="155">SUM(V125:V130)</f>
        <v>0</v>
      </c>
      <c r="W131" s="111">
        <f t="shared" ref="W131" si="156">SUM(W125:W130)</f>
        <v>0</v>
      </c>
      <c r="X131" s="129">
        <f t="shared" ref="X131" si="157">SUM(X125:X130)</f>
        <v>0</v>
      </c>
      <c r="Y131" s="95"/>
      <c r="Z131" s="96"/>
      <c r="AA131" s="97"/>
    </row>
    <row r="132" spans="3:27" s="93" customFormat="1" ht="30" hidden="1" customHeight="1" x14ac:dyDescent="0.2">
      <c r="C132" s="122" t="str">
        <f>Uebersetzung!D114</f>
        <v>Zuschläge und Abschläge ganzes Gebäude</v>
      </c>
      <c r="D132" s="95"/>
      <c r="E132" s="92"/>
      <c r="F132" s="92"/>
      <c r="G132" s="92"/>
      <c r="H132" s="92"/>
      <c r="I132" s="92"/>
      <c r="J132" s="92"/>
      <c r="K132" s="92"/>
      <c r="L132" s="92"/>
      <c r="M132" s="92"/>
      <c r="N132" s="92"/>
      <c r="O132" s="92"/>
      <c r="P132" s="92"/>
      <c r="Q132" s="92"/>
      <c r="R132" s="92"/>
      <c r="S132" s="92"/>
      <c r="T132" s="92"/>
      <c r="U132" s="92"/>
      <c r="V132" s="92"/>
      <c r="W132" s="92"/>
      <c r="X132" s="130"/>
      <c r="Y132" s="95"/>
      <c r="Z132" s="96"/>
      <c r="AA132" s="97"/>
    </row>
    <row r="133" spans="3:27" s="93" customFormat="1" ht="13.5" hidden="1" x14ac:dyDescent="0.25">
      <c r="C133" s="126" t="str">
        <f>Uebersetzung!D115</f>
        <v>PV-Anlage</v>
      </c>
      <c r="D133" s="106" t="s">
        <v>155</v>
      </c>
      <c r="E133" s="87">
        <f>Listen!$C$65*Listen!$E$65*E45</f>
        <v>0</v>
      </c>
      <c r="F133" s="87">
        <f>Listen!$C$65*Listen!$E$65*F45</f>
        <v>0</v>
      </c>
      <c r="G133" s="87">
        <f>Listen!$C$65*Listen!$E$65*G45</f>
        <v>0</v>
      </c>
      <c r="H133" s="87">
        <f>Listen!$C$65*Listen!$E$65*H45</f>
        <v>0</v>
      </c>
      <c r="I133" s="87">
        <f>Listen!$C$65*Listen!$E$65*I45</f>
        <v>0</v>
      </c>
      <c r="J133" s="87">
        <f>Listen!$C$65*Listen!$E$65*J45</f>
        <v>0</v>
      </c>
      <c r="K133" s="87">
        <f>Listen!$C$65*Listen!$E$65*K45</f>
        <v>0</v>
      </c>
      <c r="L133" s="87">
        <f>Listen!$C$65*Listen!$E$65*L45</f>
        <v>0</v>
      </c>
      <c r="M133" s="87">
        <f>Listen!$C$65*Listen!$E$65*M45</f>
        <v>0</v>
      </c>
      <c r="N133" s="87">
        <f>Listen!$C$65*Listen!$E$65*N45</f>
        <v>0</v>
      </c>
      <c r="O133" s="87">
        <f>Listen!$C$65*Listen!$E$65*O45</f>
        <v>0</v>
      </c>
      <c r="P133" s="87">
        <f>Listen!$C$65*Listen!$E$65*P45</f>
        <v>0</v>
      </c>
      <c r="Q133" s="87">
        <f>Listen!$C$65*Listen!$E$65*Q45</f>
        <v>0</v>
      </c>
      <c r="R133" s="87">
        <f>Listen!$C$65*Listen!$E$65*R45</f>
        <v>0</v>
      </c>
      <c r="S133" s="87">
        <f>Listen!$C$65*Listen!$E$65*S45</f>
        <v>0</v>
      </c>
      <c r="T133" s="87">
        <f>Listen!$C$65*Listen!$E$65*T45</f>
        <v>0</v>
      </c>
      <c r="U133" s="87">
        <f>Listen!$C$65*Listen!$E$65*U45</f>
        <v>0</v>
      </c>
      <c r="V133" s="87">
        <f>Listen!$C$65*Listen!$E$65*V45</f>
        <v>0</v>
      </c>
      <c r="W133" s="87">
        <f>Listen!$C$65*Listen!$E$65*W45</f>
        <v>0</v>
      </c>
      <c r="X133" s="151">
        <f>Listen!$C$65*Listen!$E$65*X45</f>
        <v>0</v>
      </c>
      <c r="Y133" s="95"/>
      <c r="Z133" s="96"/>
      <c r="AA133" s="97"/>
    </row>
    <row r="134" spans="3:27" s="93" customFormat="1" ht="13.5" hidden="1" x14ac:dyDescent="0.25">
      <c r="C134" s="126" t="str">
        <f>Uebersetzung!D116</f>
        <v>Thermische Solarkollektoren</v>
      </c>
      <c r="D134" s="106" t="s">
        <v>155</v>
      </c>
      <c r="E134" s="87">
        <f>IF(OR(E56=Listen!$B$52,E57=Listen!$B$52),E60*Listen!$C$66,0)</f>
        <v>0</v>
      </c>
      <c r="F134" s="87">
        <f>IF(OR(F56=Listen!$B$52,F57=Listen!$B$52),F60*Listen!$C$66,0)</f>
        <v>0</v>
      </c>
      <c r="G134" s="87">
        <f>IF(OR(G56=Listen!$B$52,G57=Listen!$B$52),G60*Listen!$C$66,0)</f>
        <v>0</v>
      </c>
      <c r="H134" s="87">
        <f>IF(OR(H56=Listen!$B$52,H57=Listen!$B$52),H60*Listen!$C$66,0)</f>
        <v>0</v>
      </c>
      <c r="I134" s="87">
        <f>IF(OR(I56=Listen!$B$52,I57=Listen!$B$52),I60*Listen!$C$66,0)</f>
        <v>0</v>
      </c>
      <c r="J134" s="87">
        <f>IF(OR(J56=Listen!$B$52,J57=Listen!$B$52),J60*Listen!$C$66,0)</f>
        <v>0</v>
      </c>
      <c r="K134" s="87">
        <f>IF(OR(K56=Listen!$B$52,K57=Listen!$B$52),K60*Listen!$C$66,0)</f>
        <v>0</v>
      </c>
      <c r="L134" s="87">
        <f>IF(OR(L56=Listen!$B$52,L57=Listen!$B$52),L60*Listen!$C$66,0)</f>
        <v>0</v>
      </c>
      <c r="M134" s="87">
        <f>IF(OR(M56=Listen!$B$52,M57=Listen!$B$52),M60*Listen!$C$66,0)</f>
        <v>0</v>
      </c>
      <c r="N134" s="87">
        <f>IF(OR(N56=Listen!$B$52,N57=Listen!$B$52),N60*Listen!$C$66,0)</f>
        <v>0</v>
      </c>
      <c r="O134" s="87">
        <f>IF(OR(O56=Listen!$B$52,O57=Listen!$B$52),O60*Listen!$C$66,0)</f>
        <v>0</v>
      </c>
      <c r="P134" s="87">
        <f>IF(OR(P56=Listen!$B$52,P57=Listen!$B$52),P60*Listen!$C$66,0)</f>
        <v>0</v>
      </c>
      <c r="Q134" s="87">
        <f>IF(OR(Q56=Listen!$B$52,Q57=Listen!$B$52),Q60*Listen!$C$66,0)</f>
        <v>0</v>
      </c>
      <c r="R134" s="87">
        <f>IF(OR(R56=Listen!$B$52,R57=Listen!$B$52),R60*Listen!$C$66,0)</f>
        <v>0</v>
      </c>
      <c r="S134" s="87">
        <f>IF(OR(S56=Listen!$B$52,S57=Listen!$B$52),S60*Listen!$C$66,0)</f>
        <v>0</v>
      </c>
      <c r="T134" s="87">
        <f>IF(OR(T56=Listen!$B$52,T57=Listen!$B$52),T60*Listen!$C$66,0)</f>
        <v>0</v>
      </c>
      <c r="U134" s="87">
        <f>IF(OR(U56=Listen!$B$52,U57=Listen!$B$52),U60*Listen!$C$66,0)</f>
        <v>0</v>
      </c>
      <c r="V134" s="87">
        <f>IF(OR(V56=Listen!$B$52,V57=Listen!$B$52),V60*Listen!$C$66,0)</f>
        <v>0</v>
      </c>
      <c r="W134" s="87">
        <f>IF(OR(W56=Listen!$B$52,W57=Listen!$B$52),W60*Listen!$C$66,0)</f>
        <v>0</v>
      </c>
      <c r="X134" s="151">
        <f>IF(OR(X56=Listen!$B$52,X57=Listen!$B$52),X60*Listen!$C$66,0)</f>
        <v>0</v>
      </c>
      <c r="Y134" s="95"/>
      <c r="Z134" s="96"/>
      <c r="AA134" s="97"/>
    </row>
    <row r="135" spans="3:27" s="93" customFormat="1" ht="13.5" hidden="1" x14ac:dyDescent="0.25">
      <c r="C135" s="126" t="str">
        <f>Uebersetzung!D117</f>
        <v>Erdsonde</v>
      </c>
      <c r="D135" s="106" t="s">
        <v>155</v>
      </c>
      <c r="E135" s="87">
        <f>IF(OR(E56=Listen!$B$39,E57=Listen!$B$39,E58=Listen!$B$39),E91*VLOOKUP(E23,Listen!$B$68:$C$74,2,0),0)</f>
        <v>0</v>
      </c>
      <c r="F135" s="87">
        <f>IF(OR(F56=Listen!$B$39,F57=Listen!$B$39,F58=Listen!$B$39),F91*VLOOKUP(F23,Listen!$B$68:$C$74,2,0),0)</f>
        <v>0</v>
      </c>
      <c r="G135" s="87">
        <f>IF(OR(G56=Listen!$B$39,G57=Listen!$B$39,G58=Listen!$B$39),G91*VLOOKUP(G23,Listen!$B$68:$C$74,2,0),0)</f>
        <v>0</v>
      </c>
      <c r="H135" s="87">
        <f>IF(OR(H56=Listen!$B$39,H57=Listen!$B$39,H58=Listen!$B$39),H91*VLOOKUP(H23,Listen!$B$68:$C$74,2,0),0)</f>
        <v>0</v>
      </c>
      <c r="I135" s="87">
        <f>IF(OR(I56=Listen!$B$39,I57=Listen!$B$39,I58=Listen!$B$39),I91*VLOOKUP(I23,Listen!$B$68:$C$74,2,0),0)</f>
        <v>0</v>
      </c>
      <c r="J135" s="87">
        <f>IF(OR(J56=Listen!$B$39,J57=Listen!$B$39,J58=Listen!$B$39),J91*VLOOKUP(J23,Listen!$B$68:$C$74,2,0),0)</f>
        <v>0</v>
      </c>
      <c r="K135" s="87">
        <f>IF(OR(K56=Listen!$B$39,K57=Listen!$B$39,K58=Listen!$B$39),K91*VLOOKUP(K23,Listen!$B$68:$C$74,2,0),0)</f>
        <v>0</v>
      </c>
      <c r="L135" s="87">
        <f>IF(OR(L56=Listen!$B$39,L57=Listen!$B$39,L58=Listen!$B$39),L91*VLOOKUP(L23,Listen!$B$68:$C$74,2,0),0)</f>
        <v>0</v>
      </c>
      <c r="M135" s="87">
        <f>IF(OR(M56=Listen!$B$39,M57=Listen!$B$39,M58=Listen!$B$39),M91*VLOOKUP(M23,Listen!$B$68:$C$74,2,0),0)</f>
        <v>0</v>
      </c>
      <c r="N135" s="87">
        <f>IF(OR(N56=Listen!$B$39,N57=Listen!$B$39,N58=Listen!$B$39),N91*VLOOKUP(N23,Listen!$B$68:$C$74,2,0),0)</f>
        <v>0</v>
      </c>
      <c r="O135" s="87">
        <f>IF(OR(O56=Listen!$B$39,O57=Listen!$B$39,O58=Listen!$B$39),O91*VLOOKUP(O23,Listen!$B$68:$C$74,2,0),0)</f>
        <v>0</v>
      </c>
      <c r="P135" s="87">
        <f>IF(OR(P56=Listen!$B$39,P57=Listen!$B$39,P58=Listen!$B$39),P91*VLOOKUP(P23,Listen!$B$68:$C$74,2,0),0)</f>
        <v>0</v>
      </c>
      <c r="Q135" s="87">
        <f>IF(OR(Q56=Listen!$B$39,Q57=Listen!$B$39,Q58=Listen!$B$39),Q91*VLOOKUP(Q23,Listen!$B$68:$C$74,2,0),0)</f>
        <v>0</v>
      </c>
      <c r="R135" s="87">
        <f>IF(OR(R56=Listen!$B$39,R57=Listen!$B$39,R58=Listen!$B$39),R91*VLOOKUP(R23,Listen!$B$68:$C$74,2,0),0)</f>
        <v>0</v>
      </c>
      <c r="S135" s="87">
        <f>IF(OR(S56=Listen!$B$39,S57=Listen!$B$39,S58=Listen!$B$39),S91*VLOOKUP(S23,Listen!$B$68:$C$74,2,0),0)</f>
        <v>0</v>
      </c>
      <c r="T135" s="87">
        <f>IF(OR(T56=Listen!$B$39,T57=Listen!$B$39,T58=Listen!$B$39),T91*VLOOKUP(T23,Listen!$B$68:$C$74,2,0),0)</f>
        <v>0</v>
      </c>
      <c r="U135" s="87">
        <f>IF(OR(U56=Listen!$B$39,U57=Listen!$B$39,U58=Listen!$B$39),U91*VLOOKUP(U23,Listen!$B$68:$C$74,2,0),0)</f>
        <v>0</v>
      </c>
      <c r="V135" s="87">
        <f>IF(OR(V56=Listen!$B$39,V57=Listen!$B$39,V58=Listen!$B$39),V91*VLOOKUP(V23,Listen!$B$68:$C$74,2,0),0)</f>
        <v>0</v>
      </c>
      <c r="W135" s="87">
        <f>IF(OR(W56=Listen!$B$39,W57=Listen!$B$39,W58=Listen!$B$39),W91*VLOOKUP(W23,Listen!$B$68:$C$74,2,0),0)</f>
        <v>0</v>
      </c>
      <c r="X135" s="151">
        <f>IF(OR(X56=Listen!$B$39,X57=Listen!$B$39,X58=Listen!$B$39),X91*VLOOKUP(X23,Listen!$B$68:$C$74,2,0),0)</f>
        <v>0</v>
      </c>
      <c r="Y135" s="95"/>
      <c r="Z135" s="96"/>
      <c r="AA135" s="97"/>
    </row>
    <row r="136" spans="3:27" s="93" customFormat="1" ht="13.5" hidden="1" x14ac:dyDescent="0.25">
      <c r="C136" s="298" t="str">
        <f>Uebersetzung!D35</f>
        <v>Abschlag Rückbau</v>
      </c>
      <c r="D136" s="299" t="s">
        <v>155</v>
      </c>
      <c r="E136" s="300">
        <f>IF(E48=NeubauJa,VLOOKUP(E49,Listen!$B$2:$E$13,4,0)*MAX((60-E$51)/60,0)*E$50,0)</f>
        <v>0</v>
      </c>
      <c r="F136" s="300">
        <f>IF(F48=NeubauJa,VLOOKUP(F49,Listen!$B$2:$E$13,4,0)*MAX((60-F$51)/60,0)*F$50,0)</f>
        <v>0</v>
      </c>
      <c r="G136" s="300">
        <f>IF(G48=NeubauJa,VLOOKUP(G49,Listen!$B$2:$E$13,4,0)*MAX((60-G$51)/60,0)*G$50,0)</f>
        <v>0</v>
      </c>
      <c r="H136" s="300">
        <f>IF(H48=NeubauJa,VLOOKUP(H49,Listen!$B$2:$E$13,4,0)*MAX((60-H$51)/60,0)*H$50,0)</f>
        <v>0</v>
      </c>
      <c r="I136" s="300">
        <f>IF(I48=NeubauJa,VLOOKUP(I49,Listen!$B$2:$E$13,4,0)*MAX((60-I$51)/60,0)*I$50,0)</f>
        <v>0</v>
      </c>
      <c r="J136" s="300">
        <f>IF(J48=NeubauJa,VLOOKUP(J49,Listen!$B$2:$E$13,4,0)*MAX((60-J$51)/60,0)*J$50,0)</f>
        <v>0</v>
      </c>
      <c r="K136" s="300">
        <f>IF(K48=NeubauJa,VLOOKUP(K49,Listen!$B$2:$E$13,4,0)*MAX((60-K$51)/60,0)*K$50,0)</f>
        <v>0</v>
      </c>
      <c r="L136" s="300">
        <f>IF(L48=NeubauJa,VLOOKUP(L49,Listen!$B$2:$E$13,4,0)*MAX((60-L$51)/60,0)*L$50,0)</f>
        <v>0</v>
      </c>
      <c r="M136" s="300">
        <f>IF(M48=NeubauJa,VLOOKUP(M49,Listen!$B$2:$E$13,4,0)*MAX((60-M$51)/60,0)*M$50,0)</f>
        <v>0</v>
      </c>
      <c r="N136" s="300">
        <f>IF(N48=NeubauJa,VLOOKUP(N49,Listen!$B$2:$E$13,4,0)*MAX((60-N$51)/60,0)*N$50,0)</f>
        <v>0</v>
      </c>
      <c r="O136" s="300">
        <f>IF(O48=NeubauJa,VLOOKUP(O49,Listen!$B$2:$E$13,4,0)*MAX((60-O$51)/60,0)*O$50,0)</f>
        <v>0</v>
      </c>
      <c r="P136" s="300">
        <f>IF(P48=NeubauJa,VLOOKUP(P49,Listen!$B$2:$E$13,4,0)*MAX((60-P$51)/60,0)*P$50,0)</f>
        <v>0</v>
      </c>
      <c r="Q136" s="300">
        <f>IF(Q48=NeubauJa,VLOOKUP(Q49,Listen!$B$2:$E$13,4,0)*MAX((60-Q$51)/60,0)*Q$50,0)</f>
        <v>0</v>
      </c>
      <c r="R136" s="300">
        <f>IF(R48=NeubauJa,VLOOKUP(R49,Listen!$B$2:$E$13,4,0)*MAX((60-R$51)/60,0)*R$50,0)</f>
        <v>0</v>
      </c>
      <c r="S136" s="300">
        <f>IF(S48=NeubauJa,VLOOKUP(S49,Listen!$B$2:$E$13,4,0)*MAX((60-S$51)/60,0)*S$50,0)</f>
        <v>0</v>
      </c>
      <c r="T136" s="300">
        <f>IF(T48=NeubauJa,VLOOKUP(T49,Listen!$B$2:$E$13,4,0)*MAX((60-T$51)/60,0)*T$50,0)</f>
        <v>0</v>
      </c>
      <c r="U136" s="300">
        <f>IF(U48=NeubauJa,VLOOKUP(U49,Listen!$B$2:$E$13,4,0)*MAX((60-U$51)/60,0)*U$50,0)</f>
        <v>0</v>
      </c>
      <c r="V136" s="300">
        <f>IF(V48=NeubauJa,VLOOKUP(V49,Listen!$B$2:$E$13,4,0)*MAX((60-V$51)/60,0)*V$50,0)</f>
        <v>0</v>
      </c>
      <c r="W136" s="300">
        <f>IF(W48=NeubauJa,VLOOKUP(W49,Listen!$B$2:$E$13,4,0)*MAX((60-W$51)/60,0)*W$50,0)</f>
        <v>0</v>
      </c>
      <c r="X136" s="301">
        <f>IF(X48=NeubauJa,VLOOKUP(X49,Listen!$B$2:$E$13,4,0)*MAX((60-X$51)/60,0)*X$50,0)</f>
        <v>0</v>
      </c>
      <c r="Y136" s="95"/>
      <c r="Z136" s="96"/>
      <c r="AA136" s="97"/>
    </row>
    <row r="137" spans="3:27" s="93" customFormat="1" ht="25.15" hidden="1" customHeight="1" x14ac:dyDescent="0.2">
      <c r="C137" s="302" t="str">
        <f>Uebersetzung!D26&amp;", "&amp;Uebersetzung!D40</f>
        <v>THGE Erstellung, Anforderung</v>
      </c>
      <c r="D137" s="303"/>
      <c r="E137" s="304"/>
      <c r="F137" s="304"/>
      <c r="G137" s="304"/>
      <c r="H137" s="304"/>
      <c r="I137" s="304"/>
      <c r="J137" s="304"/>
      <c r="K137" s="304"/>
      <c r="L137" s="304"/>
      <c r="M137" s="304"/>
      <c r="N137" s="304"/>
      <c r="O137" s="304"/>
      <c r="P137" s="304"/>
      <c r="Q137" s="304"/>
      <c r="R137" s="304"/>
      <c r="S137" s="304"/>
      <c r="T137" s="304"/>
      <c r="U137" s="304"/>
      <c r="V137" s="304"/>
      <c r="W137" s="304"/>
      <c r="X137" s="305"/>
      <c r="Y137" s="95"/>
      <c r="Z137" s="96"/>
      <c r="AA137" s="97"/>
    </row>
    <row r="138" spans="3:27" s="93" customFormat="1" ht="13.5" hidden="1" x14ac:dyDescent="0.25">
      <c r="C138" s="124" t="str">
        <f>$C$72</f>
        <v>Zone 1</v>
      </c>
      <c r="D138" s="103" t="s">
        <v>171</v>
      </c>
      <c r="E138" s="293">
        <f>IFERROR(SUM(E101,E109,E117)/E85+E125/E$91,0)</f>
        <v>0</v>
      </c>
      <c r="F138" s="293">
        <f t="shared" ref="F138:X143" si="158">IFERROR(SUM(F101,F109,F117)/F85+F125/F$91,0)</f>
        <v>0</v>
      </c>
      <c r="G138" s="293">
        <f t="shared" si="158"/>
        <v>0</v>
      </c>
      <c r="H138" s="293">
        <f t="shared" si="158"/>
        <v>0</v>
      </c>
      <c r="I138" s="293">
        <f t="shared" si="158"/>
        <v>0</v>
      </c>
      <c r="J138" s="293">
        <f t="shared" si="158"/>
        <v>0</v>
      </c>
      <c r="K138" s="293">
        <f t="shared" si="158"/>
        <v>0</v>
      </c>
      <c r="L138" s="293">
        <f t="shared" si="158"/>
        <v>0</v>
      </c>
      <c r="M138" s="293">
        <f t="shared" si="158"/>
        <v>0</v>
      </c>
      <c r="N138" s="293">
        <f t="shared" si="158"/>
        <v>0</v>
      </c>
      <c r="O138" s="293">
        <f t="shared" si="158"/>
        <v>0</v>
      </c>
      <c r="P138" s="293">
        <f t="shared" si="158"/>
        <v>0</v>
      </c>
      <c r="Q138" s="293">
        <f t="shared" si="158"/>
        <v>0</v>
      </c>
      <c r="R138" s="293">
        <f t="shared" si="158"/>
        <v>0</v>
      </c>
      <c r="S138" s="293">
        <f t="shared" si="158"/>
        <v>0</v>
      </c>
      <c r="T138" s="293">
        <f t="shared" si="158"/>
        <v>0</v>
      </c>
      <c r="U138" s="293">
        <f t="shared" si="158"/>
        <v>0</v>
      </c>
      <c r="V138" s="293">
        <f t="shared" si="158"/>
        <v>0</v>
      </c>
      <c r="W138" s="293">
        <f t="shared" si="158"/>
        <v>0</v>
      </c>
      <c r="X138" s="306">
        <f t="shared" si="158"/>
        <v>0</v>
      </c>
      <c r="Y138" s="95"/>
      <c r="Z138" s="96"/>
      <c r="AA138" s="97"/>
    </row>
    <row r="139" spans="3:27" s="93" customFormat="1" ht="13.5" hidden="1" x14ac:dyDescent="0.25">
      <c r="C139" s="126" t="str">
        <f>$C$73</f>
        <v>Zone 2</v>
      </c>
      <c r="D139" s="106" t="s">
        <v>171</v>
      </c>
      <c r="E139" s="294">
        <f t="shared" ref="E139:T143" si="159">IFERROR(SUM(E102,E110,E118)/E86+E126/E$91,0)</f>
        <v>0</v>
      </c>
      <c r="F139" s="294">
        <f t="shared" si="159"/>
        <v>0</v>
      </c>
      <c r="G139" s="294">
        <f t="shared" si="159"/>
        <v>0</v>
      </c>
      <c r="H139" s="294">
        <f t="shared" si="159"/>
        <v>0</v>
      </c>
      <c r="I139" s="294">
        <f t="shared" si="159"/>
        <v>0</v>
      </c>
      <c r="J139" s="294">
        <f t="shared" si="159"/>
        <v>0</v>
      </c>
      <c r="K139" s="294">
        <f t="shared" si="159"/>
        <v>0</v>
      </c>
      <c r="L139" s="294">
        <f t="shared" si="159"/>
        <v>0</v>
      </c>
      <c r="M139" s="294">
        <f t="shared" si="159"/>
        <v>0</v>
      </c>
      <c r="N139" s="294">
        <f t="shared" si="159"/>
        <v>0</v>
      </c>
      <c r="O139" s="294">
        <f t="shared" si="159"/>
        <v>0</v>
      </c>
      <c r="P139" s="294">
        <f t="shared" si="159"/>
        <v>0</v>
      </c>
      <c r="Q139" s="294">
        <f t="shared" si="159"/>
        <v>0</v>
      </c>
      <c r="R139" s="294">
        <f t="shared" si="159"/>
        <v>0</v>
      </c>
      <c r="S139" s="294">
        <f t="shared" si="159"/>
        <v>0</v>
      </c>
      <c r="T139" s="294">
        <f t="shared" si="159"/>
        <v>0</v>
      </c>
      <c r="U139" s="294">
        <f t="shared" si="158"/>
        <v>0</v>
      </c>
      <c r="V139" s="294">
        <f t="shared" si="158"/>
        <v>0</v>
      </c>
      <c r="W139" s="294">
        <f t="shared" si="158"/>
        <v>0</v>
      </c>
      <c r="X139" s="307">
        <f t="shared" si="158"/>
        <v>0</v>
      </c>
      <c r="Y139" s="95"/>
      <c r="Z139" s="96"/>
      <c r="AA139" s="97"/>
    </row>
    <row r="140" spans="3:27" s="93" customFormat="1" ht="13.5" hidden="1" x14ac:dyDescent="0.25">
      <c r="C140" s="126" t="str">
        <f>$C$74</f>
        <v>Zone 3</v>
      </c>
      <c r="D140" s="106" t="s">
        <v>171</v>
      </c>
      <c r="E140" s="294">
        <f>IFERROR(SUM(E103,E111,E119)/E87+E127/E$91,0)</f>
        <v>0</v>
      </c>
      <c r="F140" s="294">
        <f t="shared" ref="F140:X140" si="160">IFERROR(SUM(F103,F111,F119)/F87+F127/F$91,0)</f>
        <v>0</v>
      </c>
      <c r="G140" s="294">
        <f t="shared" si="160"/>
        <v>0</v>
      </c>
      <c r="H140" s="294">
        <f t="shared" si="160"/>
        <v>0</v>
      </c>
      <c r="I140" s="294">
        <f t="shared" si="160"/>
        <v>0</v>
      </c>
      <c r="J140" s="294">
        <f t="shared" si="160"/>
        <v>0</v>
      </c>
      <c r="K140" s="294">
        <f t="shared" si="160"/>
        <v>0</v>
      </c>
      <c r="L140" s="294">
        <f t="shared" si="160"/>
        <v>0</v>
      </c>
      <c r="M140" s="294">
        <f t="shared" si="160"/>
        <v>0</v>
      </c>
      <c r="N140" s="294">
        <f t="shared" si="160"/>
        <v>0</v>
      </c>
      <c r="O140" s="294">
        <f t="shared" si="160"/>
        <v>0</v>
      </c>
      <c r="P140" s="294">
        <f t="shared" si="160"/>
        <v>0</v>
      </c>
      <c r="Q140" s="294">
        <f t="shared" si="160"/>
        <v>0</v>
      </c>
      <c r="R140" s="294">
        <f t="shared" si="160"/>
        <v>0</v>
      </c>
      <c r="S140" s="294">
        <f t="shared" si="160"/>
        <v>0</v>
      </c>
      <c r="T140" s="294">
        <f t="shared" si="160"/>
        <v>0</v>
      </c>
      <c r="U140" s="294">
        <f t="shared" si="160"/>
        <v>0</v>
      </c>
      <c r="V140" s="294">
        <f t="shared" si="160"/>
        <v>0</v>
      </c>
      <c r="W140" s="294">
        <f t="shared" si="160"/>
        <v>0</v>
      </c>
      <c r="X140" s="307">
        <f t="shared" si="160"/>
        <v>0</v>
      </c>
      <c r="Y140" s="95"/>
      <c r="Z140" s="96"/>
      <c r="AA140" s="97"/>
    </row>
    <row r="141" spans="3:27" s="93" customFormat="1" ht="13.5" hidden="1" x14ac:dyDescent="0.25">
      <c r="C141" s="126" t="str">
        <f>$C$75</f>
        <v>Zone 4</v>
      </c>
      <c r="D141" s="106" t="s">
        <v>171</v>
      </c>
      <c r="E141" s="294">
        <f t="shared" si="159"/>
        <v>0</v>
      </c>
      <c r="F141" s="294">
        <f t="shared" si="158"/>
        <v>0</v>
      </c>
      <c r="G141" s="294">
        <f t="shared" si="158"/>
        <v>0</v>
      </c>
      <c r="H141" s="294">
        <f t="shared" si="158"/>
        <v>0</v>
      </c>
      <c r="I141" s="294">
        <f t="shared" si="158"/>
        <v>0</v>
      </c>
      <c r="J141" s="294">
        <f t="shared" si="158"/>
        <v>0</v>
      </c>
      <c r="K141" s="294">
        <f t="shared" si="158"/>
        <v>0</v>
      </c>
      <c r="L141" s="294">
        <f t="shared" si="158"/>
        <v>0</v>
      </c>
      <c r="M141" s="294">
        <f t="shared" si="158"/>
        <v>0</v>
      </c>
      <c r="N141" s="294">
        <f t="shared" si="158"/>
        <v>0</v>
      </c>
      <c r="O141" s="294">
        <f t="shared" si="158"/>
        <v>0</v>
      </c>
      <c r="P141" s="294">
        <f t="shared" si="158"/>
        <v>0</v>
      </c>
      <c r="Q141" s="294">
        <f t="shared" si="158"/>
        <v>0</v>
      </c>
      <c r="R141" s="294">
        <f t="shared" si="158"/>
        <v>0</v>
      </c>
      <c r="S141" s="294">
        <f t="shared" si="158"/>
        <v>0</v>
      </c>
      <c r="T141" s="294">
        <f t="shared" si="158"/>
        <v>0</v>
      </c>
      <c r="U141" s="294">
        <f t="shared" si="158"/>
        <v>0</v>
      </c>
      <c r="V141" s="294">
        <f t="shared" si="158"/>
        <v>0</v>
      </c>
      <c r="W141" s="294">
        <f t="shared" si="158"/>
        <v>0</v>
      </c>
      <c r="X141" s="307">
        <f t="shared" si="158"/>
        <v>0</v>
      </c>
      <c r="Y141" s="95"/>
      <c r="Z141" s="96"/>
      <c r="AA141" s="97"/>
    </row>
    <row r="142" spans="3:27" s="93" customFormat="1" ht="13.5" hidden="1" x14ac:dyDescent="0.25">
      <c r="C142" s="126" t="str">
        <f>$C$76</f>
        <v>Zone 5</v>
      </c>
      <c r="D142" s="106" t="s">
        <v>171</v>
      </c>
      <c r="E142" s="294">
        <f t="shared" si="159"/>
        <v>0</v>
      </c>
      <c r="F142" s="294">
        <f t="shared" si="158"/>
        <v>0</v>
      </c>
      <c r="G142" s="294">
        <f t="shared" si="158"/>
        <v>0</v>
      </c>
      <c r="H142" s="294">
        <f t="shared" si="158"/>
        <v>0</v>
      </c>
      <c r="I142" s="294">
        <f t="shared" si="158"/>
        <v>0</v>
      </c>
      <c r="J142" s="294">
        <f t="shared" si="158"/>
        <v>0</v>
      </c>
      <c r="K142" s="294">
        <f t="shared" si="158"/>
        <v>0</v>
      </c>
      <c r="L142" s="294">
        <f t="shared" si="158"/>
        <v>0</v>
      </c>
      <c r="M142" s="294">
        <f t="shared" si="158"/>
        <v>0</v>
      </c>
      <c r="N142" s="294">
        <f t="shared" si="158"/>
        <v>0</v>
      </c>
      <c r="O142" s="294">
        <f t="shared" si="158"/>
        <v>0</v>
      </c>
      <c r="P142" s="294">
        <f t="shared" si="158"/>
        <v>0</v>
      </c>
      <c r="Q142" s="294">
        <f t="shared" si="158"/>
        <v>0</v>
      </c>
      <c r="R142" s="294">
        <f t="shared" si="158"/>
        <v>0</v>
      </c>
      <c r="S142" s="294">
        <f t="shared" si="158"/>
        <v>0</v>
      </c>
      <c r="T142" s="294">
        <f t="shared" si="158"/>
        <v>0</v>
      </c>
      <c r="U142" s="294">
        <f t="shared" si="158"/>
        <v>0</v>
      </c>
      <c r="V142" s="294">
        <f t="shared" si="158"/>
        <v>0</v>
      </c>
      <c r="W142" s="294">
        <f t="shared" si="158"/>
        <v>0</v>
      </c>
      <c r="X142" s="307">
        <f t="shared" si="158"/>
        <v>0</v>
      </c>
      <c r="Y142" s="95"/>
      <c r="Z142" s="96"/>
      <c r="AA142" s="97"/>
    </row>
    <row r="143" spans="3:27" s="93" customFormat="1" ht="13.5" hidden="1" x14ac:dyDescent="0.25">
      <c r="C143" s="126" t="str">
        <f>$C$77</f>
        <v>Zone 6</v>
      </c>
      <c r="D143" s="106" t="s">
        <v>171</v>
      </c>
      <c r="E143" s="294">
        <f t="shared" si="159"/>
        <v>0</v>
      </c>
      <c r="F143" s="294">
        <f t="shared" si="158"/>
        <v>0</v>
      </c>
      <c r="G143" s="294">
        <f t="shared" si="158"/>
        <v>0</v>
      </c>
      <c r="H143" s="294">
        <f t="shared" si="158"/>
        <v>0</v>
      </c>
      <c r="I143" s="294">
        <f t="shared" si="158"/>
        <v>0</v>
      </c>
      <c r="J143" s="294">
        <f t="shared" si="158"/>
        <v>0</v>
      </c>
      <c r="K143" s="294">
        <f t="shared" si="158"/>
        <v>0</v>
      </c>
      <c r="L143" s="294">
        <f t="shared" si="158"/>
        <v>0</v>
      </c>
      <c r="M143" s="294">
        <f t="shared" si="158"/>
        <v>0</v>
      </c>
      <c r="N143" s="294">
        <f t="shared" si="158"/>
        <v>0</v>
      </c>
      <c r="O143" s="294">
        <f t="shared" si="158"/>
        <v>0</v>
      </c>
      <c r="P143" s="294">
        <f t="shared" si="158"/>
        <v>0</v>
      </c>
      <c r="Q143" s="294">
        <f t="shared" si="158"/>
        <v>0</v>
      </c>
      <c r="R143" s="294">
        <f t="shared" si="158"/>
        <v>0</v>
      </c>
      <c r="S143" s="294">
        <f t="shared" si="158"/>
        <v>0</v>
      </c>
      <c r="T143" s="294">
        <f t="shared" si="158"/>
        <v>0</v>
      </c>
      <c r="U143" s="294">
        <f t="shared" si="158"/>
        <v>0</v>
      </c>
      <c r="V143" s="294">
        <f t="shared" si="158"/>
        <v>0</v>
      </c>
      <c r="W143" s="294">
        <f t="shared" si="158"/>
        <v>0</v>
      </c>
      <c r="X143" s="307">
        <f t="shared" si="158"/>
        <v>0</v>
      </c>
      <c r="Y143" s="95"/>
      <c r="Z143" s="96"/>
      <c r="AA143" s="97"/>
    </row>
    <row r="144" spans="3:27" s="93" customFormat="1" ht="12.75" hidden="1" thickBot="1" x14ac:dyDescent="0.3">
      <c r="C144" s="133"/>
      <c r="D144" s="295"/>
      <c r="E144" s="296"/>
      <c r="F144" s="296"/>
      <c r="G144" s="296"/>
      <c r="H144" s="296"/>
      <c r="I144" s="296"/>
      <c r="J144" s="296"/>
      <c r="K144" s="296"/>
      <c r="L144" s="296"/>
      <c r="M144" s="296"/>
      <c r="N144" s="296"/>
      <c r="O144" s="296"/>
      <c r="P144" s="296"/>
      <c r="Q144" s="296"/>
      <c r="R144" s="296"/>
      <c r="S144" s="296"/>
      <c r="T144" s="296"/>
      <c r="U144" s="296"/>
      <c r="V144" s="296"/>
      <c r="W144" s="296"/>
      <c r="X144" s="297"/>
      <c r="Y144" s="95"/>
      <c r="Z144" s="96"/>
      <c r="AA144" s="97"/>
    </row>
    <row r="145" spans="3:27" s="138" customFormat="1" ht="31.5" hidden="1" customHeight="1" thickTop="1" x14ac:dyDescent="0.2">
      <c r="C145" s="134" t="str">
        <f>Uebersetzung!D142&amp;": "&amp;Uebersetzung!D124</f>
        <v>Kompensation: Berücksichtigte EBF</v>
      </c>
      <c r="D145" s="135"/>
      <c r="E145" s="136"/>
      <c r="F145" s="136"/>
      <c r="G145" s="136"/>
      <c r="H145" s="136"/>
      <c r="I145" s="136"/>
      <c r="J145" s="136"/>
      <c r="K145" s="136"/>
      <c r="L145" s="136"/>
      <c r="M145" s="136"/>
      <c r="N145" s="136"/>
      <c r="O145" s="136"/>
      <c r="P145" s="136"/>
      <c r="Q145" s="136"/>
      <c r="R145" s="136"/>
      <c r="S145" s="136"/>
      <c r="T145" s="136"/>
      <c r="U145" s="136"/>
      <c r="V145" s="136"/>
      <c r="W145" s="136"/>
      <c r="X145" s="136"/>
      <c r="Y145" s="137"/>
      <c r="Z145" s="148"/>
      <c r="AA145" s="76"/>
    </row>
    <row r="146" spans="3:27" s="93" customFormat="1" ht="13.5" hidden="1" x14ac:dyDescent="0.25">
      <c r="C146" s="102" t="str">
        <f>Uebersetzung!D24</f>
        <v>Minergie-Kennzahl (MKZ)</v>
      </c>
      <c r="D146" s="103" t="s">
        <v>156</v>
      </c>
      <c r="E146" s="79">
        <f t="shared" ref="E146:X146" si="161">IF(E15=Neubau_Erneuerung,E14,0)</f>
        <v>0</v>
      </c>
      <c r="F146" s="79">
        <f t="shared" si="161"/>
        <v>0</v>
      </c>
      <c r="G146" s="79">
        <f t="shared" si="161"/>
        <v>0</v>
      </c>
      <c r="H146" s="79">
        <f t="shared" si="161"/>
        <v>0</v>
      </c>
      <c r="I146" s="79">
        <f t="shared" si="161"/>
        <v>0</v>
      </c>
      <c r="J146" s="79">
        <f t="shared" si="161"/>
        <v>0</v>
      </c>
      <c r="K146" s="79">
        <f t="shared" si="161"/>
        <v>0</v>
      </c>
      <c r="L146" s="79">
        <f t="shared" si="161"/>
        <v>0</v>
      </c>
      <c r="M146" s="79">
        <f t="shared" si="161"/>
        <v>0</v>
      </c>
      <c r="N146" s="79">
        <f t="shared" si="161"/>
        <v>0</v>
      </c>
      <c r="O146" s="79">
        <f t="shared" si="161"/>
        <v>0</v>
      </c>
      <c r="P146" s="79">
        <f t="shared" si="161"/>
        <v>0</v>
      </c>
      <c r="Q146" s="79">
        <f t="shared" si="161"/>
        <v>0</v>
      </c>
      <c r="R146" s="79">
        <f t="shared" si="161"/>
        <v>0</v>
      </c>
      <c r="S146" s="79">
        <f t="shared" si="161"/>
        <v>0</v>
      </c>
      <c r="T146" s="79">
        <f t="shared" si="161"/>
        <v>0</v>
      </c>
      <c r="U146" s="79">
        <f t="shared" si="161"/>
        <v>0</v>
      </c>
      <c r="V146" s="79">
        <f t="shared" si="161"/>
        <v>0</v>
      </c>
      <c r="W146" s="79">
        <f t="shared" si="161"/>
        <v>0</v>
      </c>
      <c r="X146" s="318">
        <f t="shared" si="161"/>
        <v>0</v>
      </c>
      <c r="Y146" s="95"/>
      <c r="Z146" s="131">
        <f>SUM(E146:X146)</f>
        <v>0</v>
      </c>
      <c r="AA146" s="132" t="str">
        <f>Uebersetzung!D$38</f>
        <v>Summe</v>
      </c>
    </row>
    <row r="147" spans="3:27" s="93" customFormat="1" ht="16.149999999999999" hidden="1" customHeight="1" x14ac:dyDescent="0.25">
      <c r="C147" s="105" t="str">
        <f>Uebersetzung!D25</f>
        <v>Heizwärmebedarf (Qh)</v>
      </c>
      <c r="D147" s="106" t="s">
        <v>156</v>
      </c>
      <c r="E147" s="87">
        <f t="shared" ref="E147:X147" si="162">IF(E22=NeubauNein,0,E91)</f>
        <v>0</v>
      </c>
      <c r="F147" s="87">
        <f t="shared" si="162"/>
        <v>0</v>
      </c>
      <c r="G147" s="87">
        <f t="shared" si="162"/>
        <v>0</v>
      </c>
      <c r="H147" s="87">
        <f t="shared" si="162"/>
        <v>0</v>
      </c>
      <c r="I147" s="87">
        <f t="shared" si="162"/>
        <v>0</v>
      </c>
      <c r="J147" s="87">
        <f t="shared" si="162"/>
        <v>0</v>
      </c>
      <c r="K147" s="87">
        <f t="shared" si="162"/>
        <v>0</v>
      </c>
      <c r="L147" s="87">
        <f t="shared" si="162"/>
        <v>0</v>
      </c>
      <c r="M147" s="87">
        <f t="shared" si="162"/>
        <v>0</v>
      </c>
      <c r="N147" s="87">
        <f t="shared" si="162"/>
        <v>0</v>
      </c>
      <c r="O147" s="87">
        <f t="shared" si="162"/>
        <v>0</v>
      </c>
      <c r="P147" s="87">
        <f t="shared" si="162"/>
        <v>0</v>
      </c>
      <c r="Q147" s="87">
        <f t="shared" si="162"/>
        <v>0</v>
      </c>
      <c r="R147" s="87">
        <f t="shared" si="162"/>
        <v>0</v>
      </c>
      <c r="S147" s="87">
        <f t="shared" si="162"/>
        <v>0</v>
      </c>
      <c r="T147" s="87">
        <f t="shared" si="162"/>
        <v>0</v>
      </c>
      <c r="U147" s="87">
        <f t="shared" si="162"/>
        <v>0</v>
      </c>
      <c r="V147" s="87">
        <f t="shared" si="162"/>
        <v>0</v>
      </c>
      <c r="W147" s="87">
        <f t="shared" si="162"/>
        <v>0</v>
      </c>
      <c r="X147" s="319">
        <f t="shared" si="162"/>
        <v>0</v>
      </c>
      <c r="Y147" s="95"/>
      <c r="Z147" s="139">
        <f>SUM(E147:X147)</f>
        <v>0</v>
      </c>
      <c r="AA147" s="140" t="str">
        <f>Uebersetzung!D$38</f>
        <v>Summe</v>
      </c>
    </row>
    <row r="148" spans="3:27" s="93" customFormat="1" ht="24" hidden="1" x14ac:dyDescent="0.25">
      <c r="C148" s="116" t="str">
        <f>Uebersetzung!D25&amp;" "&amp;Uebersetzung!D29</f>
        <v>Heizwärmebedarf (Qh) Minergie-P(-ECO)-Gebäude</v>
      </c>
      <c r="D148" s="117" t="s">
        <v>156</v>
      </c>
      <c r="E148" s="83">
        <f t="shared" ref="E148:X148" si="163">IF(E22=NeubauNein,0,IF(OR(E$23=MinergieP,E$23=MinergiePEco),E91,0))</f>
        <v>0</v>
      </c>
      <c r="F148" s="83">
        <f t="shared" si="163"/>
        <v>0</v>
      </c>
      <c r="G148" s="83">
        <f t="shared" si="163"/>
        <v>0</v>
      </c>
      <c r="H148" s="83">
        <f t="shared" si="163"/>
        <v>0</v>
      </c>
      <c r="I148" s="83">
        <f t="shared" si="163"/>
        <v>0</v>
      </c>
      <c r="J148" s="83">
        <f t="shared" si="163"/>
        <v>0</v>
      </c>
      <c r="K148" s="83">
        <f t="shared" si="163"/>
        <v>0</v>
      </c>
      <c r="L148" s="83">
        <f t="shared" si="163"/>
        <v>0</v>
      </c>
      <c r="M148" s="83">
        <f t="shared" si="163"/>
        <v>0</v>
      </c>
      <c r="N148" s="83">
        <f t="shared" si="163"/>
        <v>0</v>
      </c>
      <c r="O148" s="83">
        <f t="shared" si="163"/>
        <v>0</v>
      </c>
      <c r="P148" s="83">
        <f t="shared" si="163"/>
        <v>0</v>
      </c>
      <c r="Q148" s="83">
        <f t="shared" si="163"/>
        <v>0</v>
      </c>
      <c r="R148" s="83">
        <f t="shared" si="163"/>
        <v>0</v>
      </c>
      <c r="S148" s="83">
        <f t="shared" si="163"/>
        <v>0</v>
      </c>
      <c r="T148" s="83">
        <f t="shared" si="163"/>
        <v>0</v>
      </c>
      <c r="U148" s="83">
        <f t="shared" si="163"/>
        <v>0</v>
      </c>
      <c r="V148" s="83">
        <f t="shared" si="163"/>
        <v>0</v>
      </c>
      <c r="W148" s="83">
        <f t="shared" si="163"/>
        <v>0</v>
      </c>
      <c r="X148" s="199">
        <f t="shared" si="163"/>
        <v>0</v>
      </c>
      <c r="Y148" s="95"/>
      <c r="Z148" s="139">
        <f t="shared" ref="Z148" si="164">SUM(E148:X148)</f>
        <v>0</v>
      </c>
      <c r="AA148" s="140" t="str">
        <f>Uebersetzung!D$38</f>
        <v>Summe</v>
      </c>
    </row>
    <row r="149" spans="3:27" hidden="1" x14ac:dyDescent="0.2">
      <c r="E149" s="3"/>
      <c r="F149" s="3"/>
      <c r="G149" s="3"/>
      <c r="H149" s="3"/>
      <c r="I149" s="3"/>
      <c r="J149" s="3"/>
      <c r="K149" s="3"/>
      <c r="L149" s="3"/>
      <c r="M149" s="3"/>
      <c r="N149" s="3"/>
      <c r="O149" s="3"/>
      <c r="P149" s="3"/>
      <c r="Q149" s="3"/>
      <c r="R149" s="3"/>
      <c r="S149" s="3"/>
      <c r="T149" s="3"/>
      <c r="U149" s="3"/>
      <c r="V149" s="3"/>
      <c r="W149" s="3"/>
      <c r="X149" s="3"/>
      <c r="Z149" s="146"/>
      <c r="AA149" s="147"/>
    </row>
    <row r="150" spans="3:27" s="138" customFormat="1" hidden="1" x14ac:dyDescent="0.2">
      <c r="C150" s="134" t="str">
        <f>Uebersetzung!D76&amp;" "&amp;Uebersetzung!D97</f>
        <v>Wärmeerzeugung erneuerbar</v>
      </c>
      <c r="D150" s="135"/>
      <c r="E150" s="81"/>
      <c r="F150" s="81"/>
      <c r="G150" s="81"/>
      <c r="H150" s="81"/>
      <c r="I150" s="81"/>
      <c r="J150" s="81"/>
      <c r="K150" s="81"/>
      <c r="L150" s="81"/>
      <c r="M150" s="81"/>
      <c r="N150" s="81"/>
      <c r="O150" s="81"/>
      <c r="P150" s="81"/>
      <c r="Q150" s="81"/>
      <c r="R150" s="81"/>
      <c r="S150" s="81"/>
      <c r="T150" s="81"/>
      <c r="U150" s="81"/>
      <c r="V150" s="81"/>
      <c r="W150" s="81"/>
      <c r="X150" s="81"/>
      <c r="Y150" s="137"/>
      <c r="Z150" s="148"/>
      <c r="AA150" s="76"/>
    </row>
    <row r="151" spans="3:27" s="93" customFormat="1" hidden="1" x14ac:dyDescent="0.25">
      <c r="C151" s="102" t="str">
        <f>C56</f>
        <v>Wärmeerzeugung 1</v>
      </c>
      <c r="D151" s="103"/>
      <c r="E151" s="84">
        <f>IF(ISBLANK(E$10),1,IFERROR(VLOOKUP(E56,Listen!$B$34:$C$53,2,0),"-"))</f>
        <v>1</v>
      </c>
      <c r="F151" s="84">
        <f>IF(ISBLANK(F$10),1,IFERROR(VLOOKUP(F56,Listen!$B$34:$C$53,2,0),"-"))</f>
        <v>1</v>
      </c>
      <c r="G151" s="84">
        <f>IF(ISBLANK(G$10),1,IFERROR(VLOOKUP(G56,Listen!$B$34:$C$53,2,0),"-"))</f>
        <v>1</v>
      </c>
      <c r="H151" s="84">
        <f>IF(ISBLANK(H$10),1,IFERROR(VLOOKUP(H56,Listen!$B$34:$C$53,2,0),"-"))</f>
        <v>1</v>
      </c>
      <c r="I151" s="84">
        <f>IF(ISBLANK(I$10),1,IFERROR(VLOOKUP(I56,Listen!$B$34:$C$53,2,0),"-"))</f>
        <v>1</v>
      </c>
      <c r="J151" s="84">
        <f>IF(ISBLANK(J$10),1,IFERROR(VLOOKUP(J56,Listen!$B$34:$C$53,2,0),"-"))</f>
        <v>1</v>
      </c>
      <c r="K151" s="84">
        <f>IF(ISBLANK(K$10),1,IFERROR(VLOOKUP(K56,Listen!$B$34:$C$53,2,0),"-"))</f>
        <v>1</v>
      </c>
      <c r="L151" s="84">
        <f>IF(ISBLANK(L$10),1,IFERROR(VLOOKUP(L56,Listen!$B$34:$C$53,2,0),"-"))</f>
        <v>1</v>
      </c>
      <c r="M151" s="84">
        <f>IF(ISBLANK(M$10),1,IFERROR(VLOOKUP(M56,Listen!$B$34:$C$53,2,0),"-"))</f>
        <v>1</v>
      </c>
      <c r="N151" s="84">
        <f>IF(ISBLANK(N$10),1,IFERROR(VLOOKUP(N56,Listen!$B$34:$C$53,2,0),"-"))</f>
        <v>1</v>
      </c>
      <c r="O151" s="84">
        <f>IF(ISBLANK(O$10),1,IFERROR(VLOOKUP(O56,Listen!$B$34:$C$53,2,0),"-"))</f>
        <v>1</v>
      </c>
      <c r="P151" s="84">
        <f>IF(ISBLANK(P$10),1,IFERROR(VLOOKUP(P56,Listen!$B$34:$C$53,2,0),"-"))</f>
        <v>1</v>
      </c>
      <c r="Q151" s="84">
        <f>IF(ISBLANK(Q$10),1,IFERROR(VLOOKUP(Q56,Listen!$B$34:$C$53,2,0),"-"))</f>
        <v>1</v>
      </c>
      <c r="R151" s="84">
        <f>IF(ISBLANK(R$10),1,IFERROR(VLOOKUP(R56,Listen!$B$34:$C$53,2,0),"-"))</f>
        <v>1</v>
      </c>
      <c r="S151" s="84">
        <f>IF(ISBLANK(S$10),1,IFERROR(VLOOKUP(S56,Listen!$B$34:$C$53,2,0),"-"))</f>
        <v>1</v>
      </c>
      <c r="T151" s="84">
        <f>IF(ISBLANK(T$10),1,IFERROR(VLOOKUP(T56,Listen!$B$34:$C$53,2,0),"-"))</f>
        <v>1</v>
      </c>
      <c r="U151" s="84">
        <f>IF(ISBLANK(U$10),1,IFERROR(VLOOKUP(U56,Listen!$B$34:$C$53,2,0),"-"))</f>
        <v>1</v>
      </c>
      <c r="V151" s="84">
        <f>IF(ISBLANK(V$10),1,IFERROR(VLOOKUP(V56,Listen!$B$34:$C$53,2,0),"-"))</f>
        <v>1</v>
      </c>
      <c r="W151" s="84">
        <f>IF(ISBLANK(W$10),1,IFERROR(VLOOKUP(W56,Listen!$B$34:$C$53,2,0),"-"))</f>
        <v>1</v>
      </c>
      <c r="X151" s="200">
        <f>IF(ISBLANK(X$10),1,IFERROR(VLOOKUP(X56,Listen!$B$34:$C$53,2,0),"-"))</f>
        <v>1</v>
      </c>
      <c r="Y151" s="95"/>
      <c r="Z151" s="131">
        <f>COUNTIF(E151:X151,0)</f>
        <v>0</v>
      </c>
      <c r="AA151" s="132"/>
    </row>
    <row r="152" spans="3:27" s="93" customFormat="1" hidden="1" x14ac:dyDescent="0.25">
      <c r="C152" s="105" t="str">
        <f>C57</f>
        <v>Wärmeerzeugung 2</v>
      </c>
      <c r="D152" s="106"/>
      <c r="E152" s="85">
        <f>IF(ISBLANK(E$10),1,IFERROR(VLOOKUP(E57,Listen!$B$34:$C$53,2,0),"-"))</f>
        <v>1</v>
      </c>
      <c r="F152" s="85">
        <f>IF(ISBLANK(F$10),1,IFERROR(VLOOKUP(F57,Listen!$B$34:$C$53,2,0),"-"))</f>
        <v>1</v>
      </c>
      <c r="G152" s="85">
        <f>IF(ISBLANK(G$10),1,IFERROR(VLOOKUP(G57,Listen!$B$34:$C$53,2,0),"-"))</f>
        <v>1</v>
      </c>
      <c r="H152" s="85">
        <f>IF(ISBLANK(H$10),1,IFERROR(VLOOKUP(H57,Listen!$B$34:$C$53,2,0),"-"))</f>
        <v>1</v>
      </c>
      <c r="I152" s="85">
        <f>IF(ISBLANK(I$10),1,IFERROR(VLOOKUP(I57,Listen!$B$34:$C$53,2,0),"-"))</f>
        <v>1</v>
      </c>
      <c r="J152" s="85">
        <f>IF(ISBLANK(J$10),1,IFERROR(VLOOKUP(J57,Listen!$B$34:$C$53,2,0),"-"))</f>
        <v>1</v>
      </c>
      <c r="K152" s="85">
        <f>IF(ISBLANK(K$10),1,IFERROR(VLOOKUP(K57,Listen!$B$34:$C$53,2,0),"-"))</f>
        <v>1</v>
      </c>
      <c r="L152" s="85">
        <f>IF(ISBLANK(L$10),1,IFERROR(VLOOKUP(L57,Listen!$B$34:$C$53,2,0),"-"))</f>
        <v>1</v>
      </c>
      <c r="M152" s="85">
        <f>IF(ISBLANK(M$10),1,IFERROR(VLOOKUP(M57,Listen!$B$34:$C$53,2,0),"-"))</f>
        <v>1</v>
      </c>
      <c r="N152" s="85">
        <f>IF(ISBLANK(N$10),1,IFERROR(VLOOKUP(N57,Listen!$B$34:$C$53,2,0),"-"))</f>
        <v>1</v>
      </c>
      <c r="O152" s="85">
        <f>IF(ISBLANK(O$10),1,IFERROR(VLOOKUP(O57,Listen!$B$34:$C$53,2,0),"-"))</f>
        <v>1</v>
      </c>
      <c r="P152" s="85">
        <f>IF(ISBLANK(P$10),1,IFERROR(VLOOKUP(P57,Listen!$B$34:$C$53,2,0),"-"))</f>
        <v>1</v>
      </c>
      <c r="Q152" s="85">
        <f>IF(ISBLANK(Q$10),1,IFERROR(VLOOKUP(Q57,Listen!$B$34:$C$53,2,0),"-"))</f>
        <v>1</v>
      </c>
      <c r="R152" s="85">
        <f>IF(ISBLANK(R$10),1,IFERROR(VLOOKUP(R57,Listen!$B$34:$C$53,2,0),"-"))</f>
        <v>1</v>
      </c>
      <c r="S152" s="85">
        <f>IF(ISBLANK(S$10),1,IFERROR(VLOOKUP(S57,Listen!$B$34:$C$53,2,0),"-"))</f>
        <v>1</v>
      </c>
      <c r="T152" s="85">
        <f>IF(ISBLANK(T$10),1,IFERROR(VLOOKUP(T57,Listen!$B$34:$C$53,2,0),"-"))</f>
        <v>1</v>
      </c>
      <c r="U152" s="85">
        <f>IF(ISBLANK(U$10),1,IFERROR(VLOOKUP(U57,Listen!$B$34:$C$53,2,0),"-"))</f>
        <v>1</v>
      </c>
      <c r="V152" s="85">
        <f>IF(ISBLANK(V$10),1,IFERROR(VLOOKUP(V57,Listen!$B$34:$C$53,2,0),"-"))</f>
        <v>1</v>
      </c>
      <c r="W152" s="85">
        <f>IF(ISBLANK(W$10),1,IFERROR(VLOOKUP(W57,Listen!$B$34:$C$53,2,0),"-"))</f>
        <v>1</v>
      </c>
      <c r="X152" s="201">
        <f>IF(ISBLANK(X$10),1,IFERROR(VLOOKUP(X57,Listen!$B$34:$C$53,2,0),"-"))</f>
        <v>1</v>
      </c>
      <c r="Y152" s="95"/>
      <c r="Z152" s="139">
        <f>COUNTIF(E152:X152,0)</f>
        <v>0</v>
      </c>
      <c r="AA152" s="140"/>
    </row>
    <row r="153" spans="3:27" s="93" customFormat="1" hidden="1" x14ac:dyDescent="0.25">
      <c r="C153" s="105" t="str">
        <f>C58</f>
        <v>Wärmeerzeugung 3</v>
      </c>
      <c r="D153" s="106"/>
      <c r="E153" s="85">
        <f>IF(ISBLANK(E$10),1,IFERROR(VLOOKUP(E58,Listen!$B$34:$C$53,2,0),"-"))</f>
        <v>1</v>
      </c>
      <c r="F153" s="85">
        <f>IF(ISBLANK(F$10),1,IFERROR(VLOOKUP(F58,Listen!$B$34:$C$53,2,0),"-"))</f>
        <v>1</v>
      </c>
      <c r="G153" s="85">
        <f>IF(ISBLANK(G$10),1,IFERROR(VLOOKUP(G58,Listen!$B$34:$C$53,2,0),"-"))</f>
        <v>1</v>
      </c>
      <c r="H153" s="85">
        <f>IF(ISBLANK(H$10),1,IFERROR(VLOOKUP(H58,Listen!$B$34:$C$53,2,0),"-"))</f>
        <v>1</v>
      </c>
      <c r="I153" s="85">
        <f>IF(ISBLANK(I$10),1,IFERROR(VLOOKUP(I58,Listen!$B$34:$C$53,2,0),"-"))</f>
        <v>1</v>
      </c>
      <c r="J153" s="85">
        <f>IF(ISBLANK(J$10),1,IFERROR(VLOOKUP(J58,Listen!$B$34:$C$53,2,0),"-"))</f>
        <v>1</v>
      </c>
      <c r="K153" s="85">
        <f>IF(ISBLANK(K$10),1,IFERROR(VLOOKUP(K58,Listen!$B$34:$C$53,2,0),"-"))</f>
        <v>1</v>
      </c>
      <c r="L153" s="85">
        <f>IF(ISBLANK(L$10),1,IFERROR(VLOOKUP(L58,Listen!$B$34:$C$53,2,0),"-"))</f>
        <v>1</v>
      </c>
      <c r="M153" s="85">
        <f>IF(ISBLANK(M$10),1,IFERROR(VLOOKUP(M58,Listen!$B$34:$C$53,2,0),"-"))</f>
        <v>1</v>
      </c>
      <c r="N153" s="85">
        <f>IF(ISBLANK(N$10),1,IFERROR(VLOOKUP(N58,Listen!$B$34:$C$53,2,0),"-"))</f>
        <v>1</v>
      </c>
      <c r="O153" s="85">
        <f>IF(ISBLANK(O$10),1,IFERROR(VLOOKUP(O58,Listen!$B$34:$C$53,2,0),"-"))</f>
        <v>1</v>
      </c>
      <c r="P153" s="85">
        <f>IF(ISBLANK(P$10),1,IFERROR(VLOOKUP(P58,Listen!$B$34:$C$53,2,0),"-"))</f>
        <v>1</v>
      </c>
      <c r="Q153" s="85">
        <f>IF(ISBLANK(Q$10),1,IFERROR(VLOOKUP(Q58,Listen!$B$34:$C$53,2,0),"-"))</f>
        <v>1</v>
      </c>
      <c r="R153" s="85">
        <f>IF(ISBLANK(R$10),1,IFERROR(VLOOKUP(R58,Listen!$B$34:$C$53,2,0),"-"))</f>
        <v>1</v>
      </c>
      <c r="S153" s="85">
        <f>IF(ISBLANK(S$10),1,IFERROR(VLOOKUP(S58,Listen!$B$34:$C$53,2,0),"-"))</f>
        <v>1</v>
      </c>
      <c r="T153" s="85">
        <f>IF(ISBLANK(T$10),1,IFERROR(VLOOKUP(T58,Listen!$B$34:$C$53,2,0),"-"))</f>
        <v>1</v>
      </c>
      <c r="U153" s="85">
        <f>IF(ISBLANK(U$10),1,IFERROR(VLOOKUP(U58,Listen!$B$34:$C$53,2,0),"-"))</f>
        <v>1</v>
      </c>
      <c r="V153" s="85">
        <f>IF(ISBLANK(V$10),1,IFERROR(VLOOKUP(V58,Listen!$B$34:$C$53,2,0),"-"))</f>
        <v>1</v>
      </c>
      <c r="W153" s="85">
        <f>IF(ISBLANK(W$10),1,IFERROR(VLOOKUP(W58,Listen!$B$34:$C$53,2,0),"-"))</f>
        <v>1</v>
      </c>
      <c r="X153" s="201">
        <f>IF(ISBLANK(X$10),1,IFERROR(VLOOKUP(X58,Listen!$B$34:$C$53,2,0),"-"))</f>
        <v>1</v>
      </c>
      <c r="Y153" s="95"/>
      <c r="Z153" s="396">
        <f>COUNTIF(E153:X153,0)</f>
        <v>0</v>
      </c>
      <c r="AA153" s="397"/>
    </row>
    <row r="154" spans="3:27" s="93" customFormat="1" hidden="1" x14ac:dyDescent="0.25">
      <c r="C154" s="105"/>
      <c r="D154" s="106"/>
      <c r="E154" s="85"/>
      <c r="F154" s="85"/>
      <c r="G154" s="85"/>
      <c r="H154" s="85"/>
      <c r="I154" s="85"/>
      <c r="J154" s="85"/>
      <c r="K154" s="85"/>
      <c r="L154" s="85"/>
      <c r="M154" s="85"/>
      <c r="N154" s="85"/>
      <c r="O154" s="85"/>
      <c r="P154" s="85"/>
      <c r="Q154" s="85"/>
      <c r="R154" s="85"/>
      <c r="S154" s="85"/>
      <c r="T154" s="85"/>
      <c r="U154" s="85"/>
      <c r="V154" s="85"/>
      <c r="W154" s="85"/>
      <c r="X154" s="201"/>
      <c r="Y154" s="95"/>
      <c r="Z154" s="399">
        <f>SUM(Z151:Z153)</f>
        <v>0</v>
      </c>
      <c r="AA154" s="114" t="str">
        <f>Uebersetzung!D$38</f>
        <v>Summe</v>
      </c>
    </row>
    <row r="155" spans="3:27" s="93" customFormat="1" hidden="1" x14ac:dyDescent="0.25">
      <c r="C155" s="116" t="str">
        <f>Uebersetzung!$D$139</f>
        <v>Fehlende Eingabe</v>
      </c>
      <c r="D155" s="117"/>
      <c r="E155" s="86">
        <f>IF(COUNTIF(E151:E153,"-")=3,1,0)</f>
        <v>0</v>
      </c>
      <c r="F155" s="86">
        <f t="shared" ref="F155:I155" si="165">IF(COUNTIF(F151:F153,"-")=3,1,0)</f>
        <v>0</v>
      </c>
      <c r="G155" s="86">
        <f t="shared" si="165"/>
        <v>0</v>
      </c>
      <c r="H155" s="86">
        <f t="shared" si="165"/>
        <v>0</v>
      </c>
      <c r="I155" s="86">
        <f t="shared" si="165"/>
        <v>0</v>
      </c>
      <c r="J155" s="86">
        <f t="shared" ref="J155" si="166">IF(COUNTIF(J151:J153,"-")=3,1,0)</f>
        <v>0</v>
      </c>
      <c r="K155" s="86">
        <f t="shared" ref="K155" si="167">IF(COUNTIF(K151:K153,"-")=3,1,0)</f>
        <v>0</v>
      </c>
      <c r="L155" s="86">
        <f t="shared" ref="L155" si="168">IF(COUNTIF(L151:L153,"-")=3,1,0)</f>
        <v>0</v>
      </c>
      <c r="M155" s="86">
        <f>IF(COUNTIF(M151:M153,"-")=3,1,0)</f>
        <v>0</v>
      </c>
      <c r="N155" s="86">
        <f t="shared" ref="N155" si="169">IF(COUNTIF(N151:N153,"-")=3,1,0)</f>
        <v>0</v>
      </c>
      <c r="O155" s="86">
        <f t="shared" ref="O155" si="170">IF(COUNTIF(O151:O153,"-")=3,1,0)</f>
        <v>0</v>
      </c>
      <c r="P155" s="86">
        <f t="shared" ref="P155:Q155" si="171">IF(COUNTIF(P151:P153,"-")=3,1,0)</f>
        <v>0</v>
      </c>
      <c r="Q155" s="86">
        <f t="shared" si="171"/>
        <v>0</v>
      </c>
      <c r="R155" s="86">
        <f t="shared" ref="R155" si="172">IF(COUNTIF(R151:R153,"-")=3,1,0)</f>
        <v>0</v>
      </c>
      <c r="S155" s="86">
        <f t="shared" ref="S155" si="173">IF(COUNTIF(S151:S153,"-")=3,1,0)</f>
        <v>0</v>
      </c>
      <c r="T155" s="86">
        <f t="shared" ref="T155:U155" si="174">IF(COUNTIF(T151:T153,"-")=3,1,0)</f>
        <v>0</v>
      </c>
      <c r="U155" s="86">
        <f t="shared" si="174"/>
        <v>0</v>
      </c>
      <c r="V155" s="86">
        <f t="shared" ref="V155" si="175">IF(COUNTIF(V151:V153,"-")=3,1,0)</f>
        <v>0</v>
      </c>
      <c r="W155" s="86">
        <f t="shared" ref="W155" si="176">IF(COUNTIF(W151:W153,"-")=3,1,0)</f>
        <v>0</v>
      </c>
      <c r="X155" s="202">
        <f t="shared" ref="X155" si="177">IF(COUNTIF(X151:X153,"-")=3,1,0)</f>
        <v>0</v>
      </c>
      <c r="Y155" s="95"/>
      <c r="Z155" s="141">
        <f>SUM(E155:X155)</f>
        <v>0</v>
      </c>
      <c r="AA155" s="142" t="str">
        <f>Uebersetzung!$D$139</f>
        <v>Fehlende Eingabe</v>
      </c>
    </row>
    <row r="156" spans="3:27" hidden="1" x14ac:dyDescent="0.2">
      <c r="Z156" s="398"/>
      <c r="AA156" s="147"/>
    </row>
    <row r="157" spans="3:27" hidden="1" x14ac:dyDescent="0.2">
      <c r="C157" s="335" t="str">
        <f>Uebersetzung!D175</f>
        <v>Energiebezugsflächen EBF nach Gebäudekategorie</v>
      </c>
    </row>
    <row r="158" spans="3:27" hidden="1" x14ac:dyDescent="0.2">
      <c r="C158" s="356"/>
      <c r="D158" s="357"/>
      <c r="E158" s="358" t="str">
        <f>$C$72</f>
        <v>Zone 1</v>
      </c>
      <c r="F158" s="358" t="str">
        <f>$C$73</f>
        <v>Zone 2</v>
      </c>
      <c r="G158" s="358" t="str">
        <f>$C$74</f>
        <v>Zone 3</v>
      </c>
      <c r="H158" s="358" t="str">
        <f>$C$75</f>
        <v>Zone 4</v>
      </c>
      <c r="I158" s="358" t="str">
        <f>$C$76</f>
        <v>Zone 5</v>
      </c>
      <c r="J158" s="359" t="str">
        <f>$C$77</f>
        <v>Zone 6</v>
      </c>
      <c r="K158" s="345" t="str">
        <f>Neubau_Erneuerung</f>
        <v>Neubau / Erneuerung nach Minergie</v>
      </c>
      <c r="L158" s="346" t="str">
        <f>BestAusnahme</f>
        <v>Bestandesbau mit Ausnahmeregelung</v>
      </c>
      <c r="M158" s="346" t="str">
        <f>Systemerneuerung</f>
        <v>Systemerneuerung nach Minergie</v>
      </c>
      <c r="N158" s="347" t="str">
        <f>Uebersetzung!D118</f>
        <v>total</v>
      </c>
    </row>
    <row r="159" spans="3:27" s="93" customFormat="1" ht="13.5" hidden="1" x14ac:dyDescent="0.25">
      <c r="C159" s="105" t="str">
        <f>Listen!B2</f>
        <v>Wohnen MFH</v>
      </c>
      <c r="D159" s="106" t="s">
        <v>156</v>
      </c>
      <c r="E159" s="87">
        <f>SUMIF($E$24:$X$24,$C159,$E$26:$X$26)</f>
        <v>0</v>
      </c>
      <c r="F159" s="87">
        <f>SUMIF($E$27:$X$27,$C159,$E$29:$X$29)</f>
        <v>0</v>
      </c>
      <c r="G159" s="87">
        <f>SUMIF($E$30:$X$30,$C159,$E$32:$X$32)</f>
        <v>0</v>
      </c>
      <c r="H159" s="87">
        <f>SUMIF($E$33:$X$33,$C159,$E$35:$X$35)</f>
        <v>0</v>
      </c>
      <c r="I159" s="87">
        <f>SUMIF($E$36:$X$36,$C159,$E$38:$X$38)</f>
        <v>0</v>
      </c>
      <c r="J159" s="342">
        <f>SUMIF($E$39:$X$39,$C159,$E$41:$X$41)</f>
        <v>0</v>
      </c>
      <c r="K159" s="348">
        <f t="shared" ref="K159:K160" si="178">SUM(E159:J159)</f>
        <v>0</v>
      </c>
      <c r="L159" s="87">
        <f>SUMIF($E$17:$X$17,C159,$E$14:$X$14)</f>
        <v>0</v>
      </c>
      <c r="M159" s="87"/>
      <c r="N159" s="319"/>
      <c r="O159" s="92"/>
      <c r="P159" s="92"/>
      <c r="Q159" s="92"/>
      <c r="R159" s="92"/>
      <c r="S159" s="92"/>
      <c r="T159" s="92"/>
      <c r="U159" s="92"/>
      <c r="V159" s="92"/>
      <c r="W159" s="92"/>
      <c r="X159" s="92"/>
      <c r="Y159" s="95"/>
      <c r="Z159" s="139"/>
      <c r="AA159" s="140"/>
    </row>
    <row r="160" spans="3:27" s="93" customFormat="1" ht="13.5" hidden="1" x14ac:dyDescent="0.25">
      <c r="C160" s="105" t="str">
        <f>Listen!B3</f>
        <v>Wohnen EFH</v>
      </c>
      <c r="D160" s="106" t="s">
        <v>156</v>
      </c>
      <c r="E160" s="87">
        <f>SUMIF($E$24:$X$24,$C160,$E$26:$X$26)</f>
        <v>0</v>
      </c>
      <c r="F160" s="87">
        <f>SUMIF($E$27:$X$27,$C160,$E$29:$X$29)</f>
        <v>0</v>
      </c>
      <c r="G160" s="87">
        <f>SUMIF($E$30:$X$30,$C160,$E$32:$X$32)</f>
        <v>0</v>
      </c>
      <c r="H160" s="87">
        <f>SUMIF($E$33:$X$33,$C160,$E$35:$X$35)</f>
        <v>0</v>
      </c>
      <c r="I160" s="87">
        <f>SUMIF($E$36:$X$36,$C160,$E$38:$X$38)</f>
        <v>0</v>
      </c>
      <c r="J160" s="342">
        <f>SUMIF($E$39:$X$39,$C160,$E$41:$X$41)</f>
        <v>0</v>
      </c>
      <c r="K160" s="348">
        <f t="shared" si="178"/>
        <v>0</v>
      </c>
      <c r="L160" s="87">
        <f>SUMIF($E$17:$X$17,C160,$E$14:$X$14)</f>
        <v>0</v>
      </c>
      <c r="M160" s="87"/>
      <c r="N160" s="319"/>
      <c r="O160" s="92"/>
      <c r="P160" s="92"/>
      <c r="Q160" s="92"/>
      <c r="R160" s="92"/>
      <c r="S160" s="92"/>
      <c r="T160" s="92"/>
      <c r="U160" s="92"/>
      <c r="V160" s="92"/>
      <c r="W160" s="92"/>
      <c r="X160" s="92"/>
      <c r="Y160" s="95"/>
      <c r="Z160" s="139"/>
      <c r="AA160" s="140"/>
    </row>
    <row r="161" spans="3:27" ht="27.75" hidden="1" customHeight="1" x14ac:dyDescent="0.2">
      <c r="C161" s="336" t="str">
        <f>Uebersetzung!D177</f>
        <v>Wohnen</v>
      </c>
      <c r="D161" s="337"/>
      <c r="E161" s="338">
        <f>SUM(E159:E160)</f>
        <v>0</v>
      </c>
      <c r="F161" s="338">
        <f t="shared" ref="F161:J161" si="179">SUM(F159:F160)</f>
        <v>0</v>
      </c>
      <c r="G161" s="338">
        <f t="shared" si="179"/>
        <v>0</v>
      </c>
      <c r="H161" s="338">
        <f t="shared" si="179"/>
        <v>0</v>
      </c>
      <c r="I161" s="338">
        <f t="shared" si="179"/>
        <v>0</v>
      </c>
      <c r="J161" s="343">
        <f t="shared" si="179"/>
        <v>0</v>
      </c>
      <c r="K161" s="349">
        <f>SUM(K159:K160)</f>
        <v>0</v>
      </c>
      <c r="L161" s="338">
        <f>SUM(L159:L160)</f>
        <v>0</v>
      </c>
      <c r="M161" s="338">
        <f>SUMIF(E15:X15,Systemerneuerung,E14:X14)</f>
        <v>0</v>
      </c>
      <c r="N161" s="339">
        <f>SUM(K161:M161)</f>
        <v>0</v>
      </c>
      <c r="O161" s="344"/>
      <c r="P161" s="344"/>
      <c r="Q161" s="344"/>
      <c r="R161" s="344"/>
      <c r="S161" s="344"/>
      <c r="T161" s="344"/>
      <c r="U161" s="344"/>
      <c r="V161" s="344"/>
      <c r="W161" s="344"/>
      <c r="X161" s="344"/>
      <c r="Z161" s="340"/>
      <c r="AA161" s="341"/>
    </row>
    <row r="162" spans="3:27" s="93" customFormat="1" ht="13.5" hidden="1" x14ac:dyDescent="0.25">
      <c r="C162" s="105" t="str">
        <f>Listen!B4</f>
        <v>Verwaltung</v>
      </c>
      <c r="D162" s="106" t="s">
        <v>156</v>
      </c>
      <c r="E162" s="87">
        <f>SUMIF($E$24:$X$24,$C162,$E$26:$X$26)</f>
        <v>0</v>
      </c>
      <c r="F162" s="87">
        <f>SUMIF($E$27:$X$27,$C162,$E$29:$X$29)</f>
        <v>0</v>
      </c>
      <c r="G162" s="87">
        <f>SUMIF($E$30:$X$30,$C162,$E$32:$X$32)</f>
        <v>0</v>
      </c>
      <c r="H162" s="87">
        <f>SUMIF($E$33:$X$33,$C162,$E$35:$X$35)</f>
        <v>0</v>
      </c>
      <c r="I162" s="87">
        <f>SUMIF($E$36:$X$36,$C162,$E$38:$X$38)</f>
        <v>0</v>
      </c>
      <c r="J162" s="342">
        <f>SUMIF($E$39:$X$39,$C162,$E$41:$X$41)</f>
        <v>0</v>
      </c>
      <c r="K162" s="348">
        <f t="shared" ref="K162:K171" si="180">SUM(E162:J162)</f>
        <v>0</v>
      </c>
      <c r="L162" s="87">
        <f>SUMIF($E$17:$X$17,C162,$E$14:$X$14)</f>
        <v>0</v>
      </c>
      <c r="M162" s="87"/>
      <c r="N162" s="319">
        <f t="shared" ref="N162:N171" si="181">SUM(K162:M162)</f>
        <v>0</v>
      </c>
      <c r="O162" s="92"/>
      <c r="P162" s="92"/>
      <c r="Q162" s="92"/>
      <c r="R162" s="92"/>
      <c r="S162" s="92"/>
      <c r="T162" s="92"/>
      <c r="U162" s="92"/>
      <c r="V162" s="92"/>
      <c r="W162" s="92"/>
      <c r="X162" s="92"/>
      <c r="Y162" s="95"/>
      <c r="Z162" s="139"/>
      <c r="AA162" s="140"/>
    </row>
    <row r="163" spans="3:27" s="93" customFormat="1" ht="13.5" hidden="1" x14ac:dyDescent="0.25">
      <c r="C163" s="105" t="str">
        <f>Listen!B5</f>
        <v xml:space="preserve">Schulen </v>
      </c>
      <c r="D163" s="106" t="s">
        <v>156</v>
      </c>
      <c r="E163" s="87">
        <f t="shared" ref="E163:E171" si="182">SUMIF($E$24:$X$24,$C163,$E$26:$X$26)</f>
        <v>0</v>
      </c>
      <c r="F163" s="87">
        <f t="shared" ref="F163:F171" si="183">SUMIF($E$27:$X$27,$C163,$E$29:$X$29)</f>
        <v>0</v>
      </c>
      <c r="G163" s="87">
        <f t="shared" ref="G163:G171" si="184">SUMIF($E$30:$X$30,$C163,$E$32:$X$32)</f>
        <v>0</v>
      </c>
      <c r="H163" s="87">
        <f t="shared" ref="H163:H171" si="185">SUMIF($E$33:$X$33,$C163,$E$35:$X$35)</f>
        <v>0</v>
      </c>
      <c r="I163" s="87">
        <f t="shared" ref="I163:I171" si="186">SUMIF($E$36:$X$36,$C163,$E$38:$X$38)</f>
        <v>0</v>
      </c>
      <c r="J163" s="342">
        <f t="shared" ref="J163:J171" si="187">SUMIF($E$39:$X$39,$C163,$E$41:$X$41)</f>
        <v>0</v>
      </c>
      <c r="K163" s="348">
        <f t="shared" si="180"/>
        <v>0</v>
      </c>
      <c r="L163" s="87">
        <f t="shared" ref="L163:L171" si="188">SUMIF($E$17:$X$17,C163,$E$14:$X$14)</f>
        <v>0</v>
      </c>
      <c r="M163" s="87"/>
      <c r="N163" s="319">
        <f t="shared" si="181"/>
        <v>0</v>
      </c>
      <c r="O163" s="92"/>
      <c r="P163" s="92"/>
      <c r="Q163" s="92"/>
      <c r="R163" s="92"/>
      <c r="S163" s="92"/>
      <c r="T163" s="92"/>
      <c r="U163" s="92"/>
      <c r="V163" s="92"/>
      <c r="W163" s="92"/>
      <c r="X163" s="92"/>
      <c r="Y163" s="95"/>
      <c r="Z163" s="139"/>
      <c r="AA163" s="140"/>
    </row>
    <row r="164" spans="3:27" s="93" customFormat="1" ht="13.5" hidden="1" x14ac:dyDescent="0.25">
      <c r="C164" s="105" t="str">
        <f>Listen!B6</f>
        <v>Verkauf</v>
      </c>
      <c r="D164" s="106" t="s">
        <v>156</v>
      </c>
      <c r="E164" s="87">
        <f t="shared" si="182"/>
        <v>0</v>
      </c>
      <c r="F164" s="87">
        <f t="shared" si="183"/>
        <v>0</v>
      </c>
      <c r="G164" s="87">
        <f t="shared" si="184"/>
        <v>0</v>
      </c>
      <c r="H164" s="87">
        <f t="shared" si="185"/>
        <v>0</v>
      </c>
      <c r="I164" s="87">
        <f t="shared" si="186"/>
        <v>0</v>
      </c>
      <c r="J164" s="342">
        <f t="shared" si="187"/>
        <v>0</v>
      </c>
      <c r="K164" s="348">
        <f t="shared" si="180"/>
        <v>0</v>
      </c>
      <c r="L164" s="87">
        <f t="shared" si="188"/>
        <v>0</v>
      </c>
      <c r="M164" s="87"/>
      <c r="N164" s="319">
        <f t="shared" si="181"/>
        <v>0</v>
      </c>
      <c r="O164" s="92"/>
      <c r="P164" s="92"/>
      <c r="Q164" s="92"/>
      <c r="R164" s="92"/>
      <c r="S164" s="92"/>
      <c r="T164" s="92"/>
      <c r="U164" s="92"/>
      <c r="V164" s="92"/>
      <c r="W164" s="92"/>
      <c r="X164" s="92"/>
      <c r="Y164" s="95"/>
      <c r="Z164" s="139"/>
      <c r="AA164" s="140"/>
    </row>
    <row r="165" spans="3:27" s="93" customFormat="1" ht="13.5" hidden="1" x14ac:dyDescent="0.25">
      <c r="C165" s="105" t="str">
        <f>Listen!B7</f>
        <v>Restaurant</v>
      </c>
      <c r="D165" s="106" t="s">
        <v>156</v>
      </c>
      <c r="E165" s="87">
        <f t="shared" si="182"/>
        <v>0</v>
      </c>
      <c r="F165" s="87">
        <f t="shared" si="183"/>
        <v>0</v>
      </c>
      <c r="G165" s="87">
        <f t="shared" si="184"/>
        <v>0</v>
      </c>
      <c r="H165" s="87">
        <f t="shared" si="185"/>
        <v>0</v>
      </c>
      <c r="I165" s="87">
        <f t="shared" si="186"/>
        <v>0</v>
      </c>
      <c r="J165" s="342">
        <f t="shared" si="187"/>
        <v>0</v>
      </c>
      <c r="K165" s="348">
        <f t="shared" si="180"/>
        <v>0</v>
      </c>
      <c r="L165" s="87">
        <f t="shared" si="188"/>
        <v>0</v>
      </c>
      <c r="M165" s="87"/>
      <c r="N165" s="319">
        <f t="shared" si="181"/>
        <v>0</v>
      </c>
      <c r="O165" s="92"/>
      <c r="P165" s="92"/>
      <c r="Q165" s="92"/>
      <c r="R165" s="92"/>
      <c r="S165" s="92"/>
      <c r="T165" s="92"/>
      <c r="U165" s="92"/>
      <c r="V165" s="92"/>
      <c r="W165" s="92"/>
      <c r="X165" s="92"/>
      <c r="Y165" s="95"/>
      <c r="Z165" s="139"/>
      <c r="AA165" s="140"/>
    </row>
    <row r="166" spans="3:27" s="93" customFormat="1" ht="13.5" hidden="1" x14ac:dyDescent="0.25">
      <c r="C166" s="105" t="str">
        <f>Listen!B8</f>
        <v>Versammlung</v>
      </c>
      <c r="D166" s="106" t="s">
        <v>156</v>
      </c>
      <c r="E166" s="87">
        <f t="shared" si="182"/>
        <v>0</v>
      </c>
      <c r="F166" s="87">
        <f t="shared" si="183"/>
        <v>0</v>
      </c>
      <c r="G166" s="87">
        <f t="shared" si="184"/>
        <v>0</v>
      </c>
      <c r="H166" s="87">
        <f t="shared" si="185"/>
        <v>0</v>
      </c>
      <c r="I166" s="87">
        <f t="shared" si="186"/>
        <v>0</v>
      </c>
      <c r="J166" s="342">
        <f t="shared" si="187"/>
        <v>0</v>
      </c>
      <c r="K166" s="348">
        <f t="shared" si="180"/>
        <v>0</v>
      </c>
      <c r="L166" s="87">
        <f t="shared" si="188"/>
        <v>0</v>
      </c>
      <c r="M166" s="87"/>
      <c r="N166" s="319">
        <f t="shared" si="181"/>
        <v>0</v>
      </c>
      <c r="O166" s="92"/>
      <c r="P166" s="92"/>
      <c r="Q166" s="92"/>
      <c r="R166" s="92"/>
      <c r="S166" s="92"/>
      <c r="T166" s="92"/>
      <c r="U166" s="92"/>
      <c r="V166" s="92"/>
      <c r="W166" s="92"/>
      <c r="X166" s="92"/>
      <c r="Y166" s="95"/>
      <c r="Z166" s="139"/>
      <c r="AA166" s="140"/>
    </row>
    <row r="167" spans="3:27" s="93" customFormat="1" ht="13.5" hidden="1" x14ac:dyDescent="0.25">
      <c r="C167" s="105" t="str">
        <f>Listen!B9</f>
        <v>Spitäler</v>
      </c>
      <c r="D167" s="106" t="s">
        <v>156</v>
      </c>
      <c r="E167" s="87">
        <f t="shared" si="182"/>
        <v>0</v>
      </c>
      <c r="F167" s="87">
        <f t="shared" si="183"/>
        <v>0</v>
      </c>
      <c r="G167" s="87">
        <f t="shared" si="184"/>
        <v>0</v>
      </c>
      <c r="H167" s="87">
        <f t="shared" si="185"/>
        <v>0</v>
      </c>
      <c r="I167" s="87">
        <f t="shared" si="186"/>
        <v>0</v>
      </c>
      <c r="J167" s="342">
        <f t="shared" si="187"/>
        <v>0</v>
      </c>
      <c r="K167" s="348">
        <f t="shared" si="180"/>
        <v>0</v>
      </c>
      <c r="L167" s="87">
        <f t="shared" si="188"/>
        <v>0</v>
      </c>
      <c r="M167" s="87"/>
      <c r="N167" s="319">
        <f t="shared" si="181"/>
        <v>0</v>
      </c>
      <c r="O167" s="92"/>
      <c r="P167" s="92"/>
      <c r="Q167" s="92"/>
      <c r="R167" s="92"/>
      <c r="S167" s="92"/>
      <c r="T167" s="92"/>
      <c r="U167" s="92"/>
      <c r="V167" s="92"/>
      <c r="W167" s="92"/>
      <c r="X167" s="92"/>
      <c r="Y167" s="95"/>
      <c r="Z167" s="139"/>
      <c r="AA167" s="140"/>
    </row>
    <row r="168" spans="3:27" s="93" customFormat="1" ht="13.5" hidden="1" x14ac:dyDescent="0.25">
      <c r="C168" s="105" t="str">
        <f>Listen!B10</f>
        <v>Industrie</v>
      </c>
      <c r="D168" s="106" t="s">
        <v>156</v>
      </c>
      <c r="E168" s="87">
        <f t="shared" si="182"/>
        <v>0</v>
      </c>
      <c r="F168" s="87">
        <f t="shared" si="183"/>
        <v>0</v>
      </c>
      <c r="G168" s="87">
        <f t="shared" si="184"/>
        <v>0</v>
      </c>
      <c r="H168" s="87">
        <f t="shared" si="185"/>
        <v>0</v>
      </c>
      <c r="I168" s="87">
        <f t="shared" si="186"/>
        <v>0</v>
      </c>
      <c r="J168" s="342">
        <f t="shared" si="187"/>
        <v>0</v>
      </c>
      <c r="K168" s="348">
        <f t="shared" si="180"/>
        <v>0</v>
      </c>
      <c r="L168" s="87">
        <f t="shared" si="188"/>
        <v>0</v>
      </c>
      <c r="M168" s="87"/>
      <c r="N168" s="319">
        <f t="shared" si="181"/>
        <v>0</v>
      </c>
      <c r="O168" s="92"/>
      <c r="P168" s="92"/>
      <c r="Q168" s="92"/>
      <c r="R168" s="92"/>
      <c r="S168" s="92"/>
      <c r="T168" s="92"/>
      <c r="U168" s="92"/>
      <c r="V168" s="92"/>
      <c r="W168" s="92"/>
      <c r="X168" s="92"/>
      <c r="Y168" s="95"/>
      <c r="Z168" s="139"/>
      <c r="AA168" s="140"/>
    </row>
    <row r="169" spans="3:27" s="93" customFormat="1" ht="13.5" hidden="1" x14ac:dyDescent="0.25">
      <c r="C169" s="105" t="str">
        <f>Listen!B11</f>
        <v>Lager</v>
      </c>
      <c r="D169" s="106" t="s">
        <v>156</v>
      </c>
      <c r="E169" s="87">
        <f t="shared" si="182"/>
        <v>0</v>
      </c>
      <c r="F169" s="87">
        <f t="shared" si="183"/>
        <v>0</v>
      </c>
      <c r="G169" s="87">
        <f t="shared" si="184"/>
        <v>0</v>
      </c>
      <c r="H169" s="87">
        <f t="shared" si="185"/>
        <v>0</v>
      </c>
      <c r="I169" s="87">
        <f t="shared" si="186"/>
        <v>0</v>
      </c>
      <c r="J169" s="342">
        <f t="shared" si="187"/>
        <v>0</v>
      </c>
      <c r="K169" s="348">
        <f t="shared" si="180"/>
        <v>0</v>
      </c>
      <c r="L169" s="87">
        <f t="shared" si="188"/>
        <v>0</v>
      </c>
      <c r="M169" s="87"/>
      <c r="N169" s="319">
        <f t="shared" si="181"/>
        <v>0</v>
      </c>
      <c r="O169" s="92"/>
      <c r="P169" s="92"/>
      <c r="Q169" s="92"/>
      <c r="R169" s="92"/>
      <c r="S169" s="92"/>
      <c r="T169" s="92"/>
      <c r="U169" s="92"/>
      <c r="V169" s="92"/>
      <c r="W169" s="92"/>
      <c r="X169" s="92"/>
      <c r="Y169" s="95"/>
      <c r="Z169" s="139"/>
      <c r="AA169" s="140"/>
    </row>
    <row r="170" spans="3:27" s="93" customFormat="1" ht="13.5" hidden="1" x14ac:dyDescent="0.25">
      <c r="C170" s="105" t="str">
        <f>Listen!B12</f>
        <v>Sportbauten</v>
      </c>
      <c r="D170" s="106" t="s">
        <v>156</v>
      </c>
      <c r="E170" s="87">
        <f t="shared" si="182"/>
        <v>0</v>
      </c>
      <c r="F170" s="87">
        <f t="shared" si="183"/>
        <v>0</v>
      </c>
      <c r="G170" s="87">
        <f t="shared" si="184"/>
        <v>0</v>
      </c>
      <c r="H170" s="87">
        <f t="shared" si="185"/>
        <v>0</v>
      </c>
      <c r="I170" s="87">
        <f t="shared" si="186"/>
        <v>0</v>
      </c>
      <c r="J170" s="342">
        <f t="shared" si="187"/>
        <v>0</v>
      </c>
      <c r="K170" s="348">
        <f t="shared" si="180"/>
        <v>0</v>
      </c>
      <c r="L170" s="87">
        <f t="shared" si="188"/>
        <v>0</v>
      </c>
      <c r="M170" s="87"/>
      <c r="N170" s="319">
        <f t="shared" si="181"/>
        <v>0</v>
      </c>
      <c r="O170" s="92"/>
      <c r="P170" s="92"/>
      <c r="Q170" s="92"/>
      <c r="R170" s="92"/>
      <c r="S170" s="92"/>
      <c r="T170" s="92"/>
      <c r="U170" s="92"/>
      <c r="V170" s="92"/>
      <c r="W170" s="92"/>
      <c r="X170" s="92"/>
      <c r="Y170" s="95"/>
      <c r="Z170" s="139"/>
      <c r="AA170" s="140"/>
    </row>
    <row r="171" spans="3:27" s="93" customFormat="1" ht="13.5" hidden="1" x14ac:dyDescent="0.25">
      <c r="C171" s="116" t="str">
        <f>Listen!B13</f>
        <v>Hallenbäder</v>
      </c>
      <c r="D171" s="117" t="s">
        <v>156</v>
      </c>
      <c r="E171" s="80">
        <f t="shared" si="182"/>
        <v>0</v>
      </c>
      <c r="F171" s="80">
        <f t="shared" si="183"/>
        <v>0</v>
      </c>
      <c r="G171" s="80">
        <f t="shared" si="184"/>
        <v>0</v>
      </c>
      <c r="H171" s="80">
        <f t="shared" si="185"/>
        <v>0</v>
      </c>
      <c r="I171" s="80">
        <f t="shared" si="186"/>
        <v>0</v>
      </c>
      <c r="J171" s="360">
        <f t="shared" si="187"/>
        <v>0</v>
      </c>
      <c r="K171" s="350">
        <f t="shared" si="180"/>
        <v>0</v>
      </c>
      <c r="L171" s="80">
        <f t="shared" si="188"/>
        <v>0</v>
      </c>
      <c r="M171" s="80"/>
      <c r="N171" s="351">
        <f t="shared" si="181"/>
        <v>0</v>
      </c>
      <c r="O171" s="92"/>
      <c r="P171" s="92"/>
      <c r="Q171" s="92"/>
      <c r="R171" s="92"/>
      <c r="S171" s="92"/>
      <c r="T171" s="92"/>
      <c r="U171" s="92"/>
      <c r="V171" s="92"/>
      <c r="W171" s="92"/>
      <c r="X171" s="92"/>
      <c r="Y171" s="95"/>
      <c r="Z171" s="139"/>
      <c r="AA171" s="140"/>
    </row>
    <row r="172" spans="3:27" hidden="1" x14ac:dyDescent="0.2">
      <c r="N172" s="352">
        <f>SUM(N161:N171)</f>
        <v>0</v>
      </c>
    </row>
  </sheetData>
  <sheetProtection algorithmName="SHA-512" hashValue="HzJIN8wl9n1T106OQnHFikM4NnvTsgAruRgtX17v/qlpwOceuNS2jQvkqUfwK/Ws3EVVcdKbz93uba7Uwl+TrA==" saltValue="FTuL2zOl3nPK4rcrR9kfGQ==" spinCount="100000" sheet="1" formatColumns="0" selectLockedCells="1"/>
  <mergeCells count="10">
    <mergeCell ref="C43:D43"/>
    <mergeCell ref="C61:D61"/>
    <mergeCell ref="F2:G2"/>
    <mergeCell ref="B36:B38"/>
    <mergeCell ref="B39:B41"/>
    <mergeCell ref="B24:B26"/>
    <mergeCell ref="B27:B29"/>
    <mergeCell ref="B30:B32"/>
    <mergeCell ref="B33:B35"/>
    <mergeCell ref="C20:D20"/>
  </mergeCells>
  <phoneticPr fontId="1" type="noConversion"/>
  <conditionalFormatting sqref="X8 X18:X21">
    <cfRule type="expression" dxfId="40" priority="20">
      <formula>IF(CELL("breite",W1)=0,1,0)</formula>
    </cfRule>
  </conditionalFormatting>
  <conditionalFormatting sqref="E25:X25">
    <cfRule type="expression" dxfId="39" priority="49">
      <formula>IF(ISBLANK(E24),0,1)</formula>
    </cfRule>
  </conditionalFormatting>
  <conditionalFormatting sqref="E22:X23">
    <cfRule type="expression" dxfId="38" priority="61">
      <formula>IF(AND(COUNTA(E$10)&gt;0,E$15=Neubau_Erneuerung),1,0)</formula>
    </cfRule>
  </conditionalFormatting>
  <conditionalFormatting sqref="E28:X28">
    <cfRule type="expression" dxfId="37" priority="50">
      <formula>IF(OR(ISBLANK(E27),ISBLANK(E24)),0,1)</formula>
    </cfRule>
  </conditionalFormatting>
  <conditionalFormatting sqref="E31:X31">
    <cfRule type="expression" dxfId="36" priority="51">
      <formula>IF(OR(ISBLANK(E30),ISBLANK(E27)),0,1)</formula>
    </cfRule>
  </conditionalFormatting>
  <conditionalFormatting sqref="E34:X34">
    <cfRule type="expression" dxfId="35" priority="52">
      <formula>IF(OR(ISBLANK(E33),ISBLANK(E30)),0,1)</formula>
    </cfRule>
  </conditionalFormatting>
  <conditionalFormatting sqref="E37:X37">
    <cfRule type="expression" dxfId="34" priority="59">
      <formula>IF(OR(ISBLANK(E36),ISBLANK(E33)),0,1)</formula>
    </cfRule>
  </conditionalFormatting>
  <conditionalFormatting sqref="E40:X40">
    <cfRule type="expression" dxfId="33" priority="60">
      <formula>IF(OR(ISBLANK(E39),ISBLANK(E37)),0,1)</formula>
    </cfRule>
  </conditionalFormatting>
  <conditionalFormatting sqref="E15:X15">
    <cfRule type="expression" dxfId="32" priority="48">
      <formula>IF(COUNTA(E$10)&gt;0,1,0)</formula>
    </cfRule>
  </conditionalFormatting>
  <conditionalFormatting sqref="E63:X64">
    <cfRule type="expression" dxfId="31" priority="265">
      <formula>IF(AND(COUNTA(E$10)&gt;0,$D$62=KompensationJa,E$15=Neubau_Erneuerung),1,0)</formula>
    </cfRule>
  </conditionalFormatting>
  <conditionalFormatting sqref="E13:X13 E68:X68">
    <cfRule type="expression" dxfId="30" priority="46">
      <formula>IF(ISBLANK(E$10),0,1)</formula>
    </cfRule>
  </conditionalFormatting>
  <conditionalFormatting sqref="E17:X18">
    <cfRule type="expression" dxfId="29" priority="272">
      <formula>IF(E$15=BestAusnahme,1,0)</formula>
    </cfRule>
  </conditionalFormatting>
  <conditionalFormatting sqref="E21:X21">
    <cfRule type="expression" dxfId="28" priority="276">
      <formula>IF(AND(COUNTA(E$10)&gt;0,OR(E$15=Neubau_Erneuerung,E$15=Systemerneuerung)),1,0)</formula>
    </cfRule>
  </conditionalFormatting>
  <conditionalFormatting sqref="N10 S10 X10 N18:N21">
    <cfRule type="expression" dxfId="27" priority="23">
      <formula>IF(CELL("Breite",M1)=0,1,0)</formula>
    </cfRule>
  </conditionalFormatting>
  <conditionalFormatting sqref="E56:X59">
    <cfRule type="expression" dxfId="26" priority="291">
      <formula>IF(COUNTA(E$10)&gt;0,1)</formula>
    </cfRule>
  </conditionalFormatting>
  <conditionalFormatting sqref="E65:X66">
    <cfRule type="expression" dxfId="25" priority="270">
      <formula>IF(AND(COUNTA(E$10)&gt;0,$D$62=KompensationJa,E$22=NeubauJa),1,0)</formula>
    </cfRule>
  </conditionalFormatting>
  <conditionalFormatting sqref="E11:X11">
    <cfRule type="expression" dxfId="24" priority="45">
      <formula>IF(COUNTA(E$10)&gt;0,1,0)</formula>
    </cfRule>
  </conditionalFormatting>
  <conditionalFormatting sqref="E45:X45">
    <cfRule type="expression" dxfId="23" priority="24">
      <formula>IF(COUNTA(E$10)&gt;0,1,0)</formula>
    </cfRule>
  </conditionalFormatting>
  <conditionalFormatting sqref="E48:X48">
    <cfRule type="expression" dxfId="22" priority="19">
      <formula>IF(AND(E$15=Neubau_Erneuerung,E$22=NeubauJa),1,0)</formula>
    </cfRule>
  </conditionalFormatting>
  <conditionalFormatting sqref="E54:X54">
    <cfRule type="expression" dxfId="21" priority="16">
      <formula>IF(E$22=NeubauJa,1,0)</formula>
    </cfRule>
  </conditionalFormatting>
  <conditionalFormatting sqref="E19:X19">
    <cfRule type="expression" dxfId="20" priority="15">
      <formula>IF(E$18=MinergieZert,1,0)</formula>
    </cfRule>
  </conditionalFormatting>
  <conditionalFormatting sqref="E24:X24">
    <cfRule type="expression" dxfId="19" priority="13">
      <formula>IF(E$15=Neubau_Erneuerung,1,0)</formula>
    </cfRule>
  </conditionalFormatting>
  <conditionalFormatting sqref="E12:X12">
    <cfRule type="expression" dxfId="18" priority="8">
      <formula>IF(E11&gt;0,1,0)</formula>
    </cfRule>
  </conditionalFormatting>
  <conditionalFormatting sqref="E27:X27">
    <cfRule type="expression" dxfId="17" priority="370">
      <formula>IF(AND(E$15=Neubau_Erneuerung,E$25&lt;1),1,0)</formula>
    </cfRule>
  </conditionalFormatting>
  <conditionalFormatting sqref="E43:X43">
    <cfRule type="expression" dxfId="16" priority="7">
      <formula>IF(E$18=Schutzinv,1,0)</formula>
    </cfRule>
  </conditionalFormatting>
  <conditionalFormatting sqref="E26:X26 E29:X29 E32:X32 E35:X35 E38:X38 E41:X41">
    <cfRule type="cellIs" dxfId="15" priority="6" operator="equal">
      <formula>0</formula>
    </cfRule>
  </conditionalFormatting>
  <conditionalFormatting sqref="E30:X30">
    <cfRule type="expression" dxfId="14" priority="5">
      <formula>IF(AND(E$15=Neubau_Erneuerung,SUM(E$25,E$28)&lt;1),1,0)</formula>
    </cfRule>
  </conditionalFormatting>
  <conditionalFormatting sqref="E33:X33">
    <cfRule type="expression" dxfId="13" priority="4">
      <formula>IF(AND(E$15=Neubau_Erneuerung,SUM(E$25,E$28,E$31)&lt;1),1,0)</formula>
    </cfRule>
  </conditionalFormatting>
  <conditionalFormatting sqref="E36:X36">
    <cfRule type="expression" dxfId="12" priority="3">
      <formula>IF(AND(E$15=Neubau_Erneuerung,SUM(E$25,E$28,E$31,E$34)&lt;1),1,0)</formula>
    </cfRule>
  </conditionalFormatting>
  <conditionalFormatting sqref="E39:X39">
    <cfRule type="expression" dxfId="11" priority="1">
      <formula>IF(AND(E$15=Neubau_Erneuerung,SUM(E$25,E$28,E$31,E$34,E$37)&lt;1),1,0)</formula>
    </cfRule>
  </conditionalFormatting>
  <dataValidations count="17">
    <dataValidation type="list" allowBlank="1" showInputMessage="1" showErrorMessage="1" sqref="E15:X15" xr:uid="{814D1200-9F20-4181-BA17-6743D2F05C8D}">
      <formula1>IF(ISBLANK(E$10),LST_Leer,LSTArt)</formula1>
    </dataValidation>
    <dataValidation type="list" allowBlank="1" showInputMessage="1" showErrorMessage="1" sqref="E23:X23" xr:uid="{E68CF406-49D3-4D1A-B018-53B4AFC09D59}">
      <formula1>IF(E$15=Neubau_Erneuerung,LSTMinStandard,LST_Leer)</formula1>
    </dataValidation>
    <dataValidation type="list" allowBlank="1" showInputMessage="1" showErrorMessage="1" sqref="E18:X18" xr:uid="{12414EE0-6EFC-4FA1-A22B-2A019CDC976C}">
      <formula1>IF(E$15=BestAusnahme,LSTAusnahme,LST_Leer)</formula1>
    </dataValidation>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LSTKompensation</formula1>
    </dataValidation>
    <dataValidation type="list" allowBlank="1" showInputMessage="1" showErrorMessage="1" sqref="E42:X42 E23:X23" xr:uid="{8F3ECDCC-8728-407D-8E8E-76624E8198D7}">
      <formula1>LSTNeubau</formula1>
    </dataValidation>
    <dataValidation type="decimal" allowBlank="1" showInputMessage="1" showErrorMessage="1" sqref="E45:X45 E50:X50 E11:X11 E60:X60" xr:uid="{1E038FD1-2794-4DCD-8D79-70C570B0DAB6}">
      <formula1>0</formula1>
      <formula2>1000000</formula2>
    </dataValidation>
    <dataValidation type="decimal" allowBlank="1" showInputMessage="1" showErrorMessage="1" sqref="E51:X52 E54:X54" xr:uid="{20A3905A-9A1D-49FD-BB6C-94D803BE15A5}">
      <formula1>0</formula1>
      <formula2>1000</formula2>
    </dataValidation>
    <dataValidation type="decimal" allowBlank="1" showInputMessage="1" showErrorMessage="1" sqref="E40:X40 E25:X25 E28:X28 E31:X31 E37:X37 E34" xr:uid="{13192E8F-541B-4439-9213-EC5C08C273AA}">
      <formula1>0</formula1>
      <formula2>IF(E$15=Neubau_Erneuerung,1,0)</formula2>
    </dataValidation>
    <dataValidation type="list" allowBlank="1" showInputMessage="1" showErrorMessage="1" sqref="F43:X43" xr:uid="{A46C044C-9D1B-4885-BC14-513A0786D760}">
      <formula1>LST_PV_Zulässigkeit</formula1>
    </dataValidation>
    <dataValidation type="list" allowBlank="1" showInputMessage="1" showErrorMessage="1" sqref="E43" xr:uid="{772D9BC9-FA0C-4B6E-90BF-AC8F4F896E0E}">
      <formula1>IF(E$18=Schutzinv,LST_PV_Zulässigkeit,LST_Leer)</formula1>
    </dataValidation>
    <dataValidation type="list" allowBlank="1" showInputMessage="1" showErrorMessage="1" sqref="E22:X22 E48:X48" xr:uid="{853D8B1E-7DCA-420E-A537-4961727D6B6B}">
      <formula1>IF(E$15=Neubau_Erneuerung,LSTNeubau,LST_Leer)</formula1>
    </dataValidation>
    <dataValidation type="list" allowBlank="1" showInputMessage="1" showErrorMessage="1" sqref="E24:X24 E27:X27 E30:X30 E33:X33 E36:X36 E39:X39" xr:uid="{9671F67B-4BA7-4E08-9E88-76CBB22C66EA}">
      <formula1>IF(E$15=Neubau_Erneuerung,LSTGebKat,LST_Leer)</formula1>
    </dataValidation>
    <dataValidation type="list" allowBlank="1" showInputMessage="1" showErrorMessage="1" sqref="F34:X34" xr:uid="{D261764E-2CC9-4ACA-8BC6-D6051F26ECA5}">
      <formula1>IF(XEQ$15=Neubau_Erneuerung,LST_AnteilEBF,LST_Leer)</formula1>
    </dataValidation>
    <dataValidation type="list" allowBlank="1" showInputMessage="1" showErrorMessage="1" sqref="E49:X49" xr:uid="{A6AAA8AD-48EC-4426-9F9C-950DA6C42093}">
      <formula1>IF(E$48=NeubauJa,LSTGebKat,LST_Leer)</formula1>
    </dataValidation>
    <dataValidation type="list" allowBlank="1" showInputMessage="1" showErrorMessage="1" sqref="E17:X17" xr:uid="{55003D1B-2148-4CD0-8FB3-C61C6D00805D}">
      <formula1>IF(E$15=BestAusnahme,LSTGebKat,LST_Leer)</formula1>
    </dataValidation>
    <dataValidation type="decimal" allowBlank="1" showInputMessage="1" showErrorMessage="1" sqref="E13:X13" xr:uid="{A260D716-F38E-4A06-B595-C765F6782675}">
      <formula1>0</formula1>
      <formula2>E11</formula2>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8" id="{D37E2C7B-05A1-47E6-90E7-536B3C99AB1D}">
            <xm:f>IF(E$48=Uebersetzung!$D$110,1,0)</xm:f>
            <x14:dxf>
              <font>
                <color theme="1"/>
              </font>
              <fill>
                <patternFill>
                  <bgColor rgb="FFEEFFDD"/>
                </patternFill>
              </fill>
            </x14:dxf>
          </x14:cfRule>
          <xm:sqref>E49:X49</xm:sqref>
        </x14:conditionalFormatting>
        <x14:conditionalFormatting xmlns:xm="http://schemas.microsoft.com/office/excel/2006/main">
          <x14:cfRule type="expression" priority="17" id="{15BD7B53-93C2-4561-BBF0-5ACFA7D4279F}">
            <xm:f>IF(E$48=Uebersetzung!$D$110,1,0)</xm:f>
            <x14:dxf>
              <font>
                <color theme="1"/>
              </font>
              <fill>
                <patternFill>
                  <bgColor rgb="FFFFFF00"/>
                </patternFill>
              </fill>
            </x14:dxf>
          </x14:cfRule>
          <xm:sqref>E50:X51</xm:sqref>
        </x14:conditionalFormatting>
        <x14:conditionalFormatting xmlns:xm="http://schemas.microsoft.com/office/excel/2006/main">
          <x14:cfRule type="expression" priority="368" id="{10BEF0CB-8834-4A39-A824-C06CBC373D07}">
            <xm:f>IF(OR(E$56=Listen!$B$52,E$57=Listen!$B$52,E$58=Listen!$B$52),1,0)</xm:f>
            <x14:dxf>
              <font>
                <color theme="1"/>
              </font>
              <fill>
                <patternFill>
                  <bgColor rgb="FFFFFF00"/>
                </patternFill>
              </fill>
            </x14:dxf>
          </x14:cfRule>
          <xm:sqref>E60:X60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D6ECE31-470E-49FE-9400-29C80F83695E}">
          <x14:formula1>
            <xm:f>IF(#REF!=Listen!$B$26,LSTMinStandard,"")</xm:f>
          </x14:formula1>
          <xm:sqref>E23:X23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49"/>
  <sheetViews>
    <sheetView showGridLines="0" zoomScaleNormal="100" zoomScalePageLayoutView="85" workbookViewId="0">
      <selection activeCell="B40" sqref="B40"/>
    </sheetView>
  </sheetViews>
  <sheetFormatPr baseColWidth="10" defaultColWidth="10.85546875" defaultRowHeight="12" x14ac:dyDescent="0.2"/>
  <cols>
    <col min="1" max="1" width="4.140625" style="1" customWidth="1"/>
    <col min="2" max="2" width="65.85546875" style="1" customWidth="1"/>
    <col min="3" max="3" width="16.5703125" style="3" customWidth="1"/>
    <col min="4" max="4" width="2" style="3" customWidth="1"/>
    <col min="5" max="5" width="14.85546875" style="1" customWidth="1"/>
    <col min="6" max="6" width="15.5703125" style="1" customWidth="1"/>
    <col min="7" max="7" width="15.5703125" style="1" bestFit="1" customWidth="1"/>
    <col min="8" max="12" width="10.85546875" style="1"/>
    <col min="13" max="13" width="10.28515625" style="1" customWidth="1"/>
    <col min="14" max="16384" width="10.85546875" style="1"/>
  </cols>
  <sheetData>
    <row r="1" spans="2:17" x14ac:dyDescent="0.2">
      <c r="C1" s="1"/>
      <c r="D1" s="1"/>
      <c r="E1" s="3"/>
      <c r="F1" s="3"/>
      <c r="G1" s="3"/>
      <c r="H1" s="3"/>
      <c r="I1" s="3"/>
      <c r="J1" s="3"/>
      <c r="K1" s="3"/>
      <c r="L1" s="3"/>
      <c r="M1" s="3"/>
      <c r="N1" s="3"/>
      <c r="O1" s="3"/>
      <c r="P1" s="9"/>
      <c r="Q1" s="7"/>
    </row>
    <row r="2" spans="2:17" ht="54" customHeight="1" x14ac:dyDescent="0.2">
      <c r="B2" s="11"/>
      <c r="C2" s="418" t="str">
        <f>Uebersetzung!D72</f>
        <v>Übersicht</v>
      </c>
      <c r="D2" s="418"/>
      <c r="E2" s="434" t="str">
        <f>Uebersetzung!D4</f>
        <v>Hilfstool zu Vorgaben A1.1, C1.1, C1.4 und C2.1</v>
      </c>
      <c r="F2" s="434"/>
      <c r="G2" s="13" t="str">
        <f>Uebersetzung!D11&amp;" "&amp;Uebersetzung!C2&amp;"."&amp;Uebersetzung!A2</f>
        <v>Version 2023.1</v>
      </c>
      <c r="I2" s="3"/>
      <c r="J2" s="3"/>
      <c r="K2" s="3"/>
      <c r="L2" s="3"/>
      <c r="M2" s="3"/>
      <c r="N2" s="3"/>
      <c r="O2" s="3"/>
      <c r="P2" s="9"/>
      <c r="Q2" s="7"/>
    </row>
    <row r="3" spans="2:17" ht="16.5" customHeight="1" x14ac:dyDescent="0.2">
      <c r="C3" s="5"/>
      <c r="D3" s="5"/>
      <c r="E3" s="10"/>
      <c r="F3" s="10"/>
      <c r="G3" s="3"/>
      <c r="H3" s="14"/>
      <c r="I3" s="3"/>
      <c r="J3" s="3"/>
      <c r="K3" s="3"/>
      <c r="L3" s="3"/>
      <c r="M3" s="3"/>
      <c r="N3" s="3"/>
      <c r="O3" s="3"/>
      <c r="P3" s="9"/>
      <c r="Q3" s="7"/>
    </row>
    <row r="4" spans="2:17" ht="30" customHeight="1" x14ac:dyDescent="0.2">
      <c r="B4" s="2" t="str">
        <f>Uebersetzung!D136</f>
        <v>Erfüllung der Anforderungen Minergie-Areal Themen  A und C</v>
      </c>
    </row>
    <row r="5" spans="2:17" ht="22.5" customHeight="1" x14ac:dyDescent="0.2">
      <c r="B5" s="228" t="str">
        <f>Uebersetzung!D140</f>
        <v>Pflichtvorgaben Minergie-Areal</v>
      </c>
      <c r="D5" s="442" t="str">
        <f>Uebersetzung!D40</f>
        <v>Anforderung</v>
      </c>
      <c r="E5" s="443"/>
      <c r="F5" s="229" t="str">
        <f>Uebersetzung!D41</f>
        <v>Projektwert</v>
      </c>
      <c r="G5" s="230" t="str">
        <f>Uebersetzung!D73</f>
        <v>Erfüllt?</v>
      </c>
    </row>
    <row r="6" spans="2:17" ht="22.5" customHeight="1" x14ac:dyDescent="0.2">
      <c r="B6" s="231" t="str">
        <f>Uebersetzung!D168</f>
        <v>A1.1 Zertifizierung nach Minergie (-P/-A/-ECO)</v>
      </c>
      <c r="C6" s="232"/>
      <c r="D6" s="233"/>
      <c r="E6" s="234"/>
      <c r="F6" s="235"/>
      <c r="G6" s="236"/>
    </row>
    <row r="7" spans="2:17" ht="22.5" customHeight="1" x14ac:dyDescent="0.2">
      <c r="B7" s="445" t="str">
        <f>Uebersetzung!D135&amp;", "&amp;Uebersetzung!D70</f>
        <v>Anteil Bestandesbauten mit Ausnahmeregelung, GEAK A/B/C oder SNBS Zertifikat</v>
      </c>
      <c r="C7" s="446"/>
      <c r="D7" s="238" t="s">
        <v>37</v>
      </c>
      <c r="E7" s="239">
        <v>0.2</v>
      </c>
      <c r="F7" s="240" t="str">
        <f>IFERROR(SUMIF(AusnahmeAreal,GEAK_SNBS,EBFAreal)/$F$22,Uebersetzung!D139)</f>
        <v>Fehlende Eingabe</v>
      </c>
      <c r="G7" s="241" t="str">
        <f>IF(COUNTA(Eingabe!E10:X10)=0,"-",IF(F7&lt;=E7,Uebersetzung!D$110,Uebersetzung!D$111))</f>
        <v>-</v>
      </c>
    </row>
    <row r="8" spans="2:17" ht="22.5" customHeight="1" x14ac:dyDescent="0.2">
      <c r="B8" s="242" t="str">
        <f>Uebersetzung!D135&amp;", "&amp;Uebersetzung!D71</f>
        <v>Anteil Bestandesbauten mit Ausnahmeregelung, Weitere</v>
      </c>
      <c r="C8" s="90"/>
      <c r="D8" s="243" t="s">
        <v>37</v>
      </c>
      <c r="E8" s="244">
        <v>0.1</v>
      </c>
      <c r="F8" s="245" t="str">
        <f>IFERROR(SUMIF(AusnahmeAreal,WeitereAusnahmen,EBFAreal)/$F$22,Uebersetzung!D139)</f>
        <v>Fehlende Eingabe</v>
      </c>
      <c r="G8" s="246" t="str">
        <f>IF(COUNTA(Eingabe!E10:X10)=0,"-",IF(F8&lt;=E8,Uebersetzung!D$110,Uebersetzung!D$111))</f>
        <v>-</v>
      </c>
    </row>
    <row r="9" spans="2:17" s="4" customFormat="1" ht="22.5" customHeight="1" x14ac:dyDescent="0.25">
      <c r="B9" s="247" t="str">
        <f>Uebersetzung!D126</f>
        <v>Werden Qh und MKZ zwischen Minergie-Gebäuden kompensiert?</v>
      </c>
      <c r="C9" s="248" t="str">
        <f>IF(ISBLANK(Eingabe!D62),"-",Eingabe!D62)</f>
        <v>-</v>
      </c>
      <c r="D9" s="249"/>
      <c r="E9" s="250"/>
      <c r="F9" s="250"/>
      <c r="G9" s="251"/>
    </row>
    <row r="10" spans="2:17" s="4" customFormat="1" ht="22.5" customHeight="1" x14ac:dyDescent="0.25">
      <c r="B10" s="252" t="str">
        <f>Uebersetzung!D108&amp;" "&amp;Uebersetzung!D24&amp;" "&amp;Uebersetzung!D171</f>
        <v>Mittlere Minergie-Kennzahl (MKZ) aller Neubauten und Erneuerungen</v>
      </c>
      <c r="C10" s="77" t="s">
        <v>8</v>
      </c>
      <c r="D10" s="238" t="s">
        <v>37</v>
      </c>
      <c r="E10" s="253" t="str">
        <f>IF($C$9=KompensationJa,IFERROR(Eingabe!Z63,Uebersetzung!D139),"-")</f>
        <v>-</v>
      </c>
      <c r="F10" s="254" t="str">
        <f>IF($C$9=KompensationJa,IFERROR(Eingabe!Z64,Uebersetzung!D139),"-")</f>
        <v>-</v>
      </c>
      <c r="G10" s="255" t="str">
        <f>IF(OR(E10="-",C9=KompensationNein),"-",IF(F10&lt;=E10,Uebersetzung!D$110,Uebersetzung!D$111))</f>
        <v>-</v>
      </c>
    </row>
    <row r="11" spans="2:17" s="4" customFormat="1" ht="22.5" customHeight="1" x14ac:dyDescent="0.25">
      <c r="B11" s="252" t="str">
        <f>Uebersetzung!D102&amp;" "&amp;Uebersetzung!D25&amp;" "&amp;Uebersetzung!D172</f>
        <v>Mittlerer Heizwärmebedarf (Qh) aller Neubauten</v>
      </c>
      <c r="C11" s="77" t="s">
        <v>8</v>
      </c>
      <c r="D11" s="238" t="s">
        <v>37</v>
      </c>
      <c r="E11" s="253" t="str">
        <f>IF($C$9=KompensationJa,IFERROR(Eingabe!Z65,Uebersetzung!D139),"-")</f>
        <v>-</v>
      </c>
      <c r="F11" s="254" t="str">
        <f>IF($C$9=KompensationJa,IFERROR(Eingabe!Z66,Uebersetzung!D139),"-")</f>
        <v>-</v>
      </c>
      <c r="G11" s="255" t="str">
        <f>IF(OR(E11="-",C9=KompensationNein),"-",IF(F11&lt;=E11,Uebersetzung!D$110,Uebersetzung!D$111))</f>
        <v>-</v>
      </c>
    </row>
    <row r="12" spans="2:17" s="4" customFormat="1" ht="22.5" customHeight="1" x14ac:dyDescent="0.25">
      <c r="B12" s="256" t="str">
        <f>Uebersetzung!D102&amp;" "&amp;Uebersetzung!D25&amp;" "&amp;Uebersetzung!D29</f>
        <v>Mittlerer Heizwärmebedarf (Qh) Minergie-P(-ECO)-Gebäude</v>
      </c>
      <c r="C12" s="73" t="s">
        <v>8</v>
      </c>
      <c r="D12" s="257" t="s">
        <v>37</v>
      </c>
      <c r="E12" s="258" t="str">
        <f>IF($C$9=KompensationJa,IFERROR(SUMPRODUCT(Eingabe!E65:X65,Eingabe!E148:X148)/Eingabe!Z148,Uebersetzung!D139),"-")</f>
        <v>-</v>
      </c>
      <c r="F12" s="259" t="str">
        <f>IF($C$9=KompensationJa,IFERROR(SUMPRODUCT(Eingabe!E66:X66,Eingabe!E148:X148)/Eingabe!Z148,Uebersetzung!D139),"-")</f>
        <v>-</v>
      </c>
      <c r="G12" s="260" t="str">
        <f>IF(E12="-","-",IF(F12&lt;=E12,Uebersetzung!D$110,Uebersetzung!D$111))</f>
        <v>-</v>
      </c>
      <c r="H12" s="261" t="str">
        <f>IF((COUNTIF(Eingabe!E23:X23,MinergieP)+COUNTIF(Eingabe!E23:X23,MinergiePEco))=0,Uebersetzung!D145,"")</f>
        <v>Keine Minergie-P(-ECO)-Gebäude</v>
      </c>
    </row>
    <row r="13" spans="2:17" ht="22.5" customHeight="1" x14ac:dyDescent="0.2">
      <c r="B13" s="262" t="str">
        <f>Uebersetzung!D169</f>
        <v>C1.1 Betriebsenergie</v>
      </c>
      <c r="C13" s="263"/>
      <c r="D13" s="74"/>
      <c r="E13" s="264"/>
      <c r="F13" s="265"/>
      <c r="G13" s="266"/>
    </row>
    <row r="14" spans="2:17" s="4" customFormat="1" ht="22.5" customHeight="1" x14ac:dyDescent="0.25">
      <c r="B14" s="267" t="str">
        <f>Uebersetzung!D99</f>
        <v>Haben alle Gebäude eine erneuerbare Wärmeerzeugung (ohne Spitzenlast)?</v>
      </c>
      <c r="C14" s="73"/>
      <c r="D14" s="268"/>
      <c r="E14" s="269" t="str">
        <f>Uebersetzung!D97</f>
        <v>erneuerbar</v>
      </c>
      <c r="F14" s="270" t="str">
        <f>IF(Eingabe!$Z$155&gt;0,Uebersetzung!D139,IF(Eingabe!Z154&gt;0,Uebersetzung!D101,Uebersetzung!D97))</f>
        <v>erneuerbar</v>
      </c>
      <c r="G14" s="271" t="str">
        <f>IF(COUNTA(Eingabe!E10:X10)=0,"-",IF(F14=E14,Uebersetzung!D$110,Uebersetzung!D$111))</f>
        <v>-</v>
      </c>
      <c r="H14" s="261"/>
    </row>
    <row r="15" spans="2:17" s="4" customFormat="1" ht="22.5" customHeight="1" x14ac:dyDescent="0.2">
      <c r="B15" s="272" t="str">
        <f>Uebersetzung!D133</f>
        <v>C1.4 Nutzung solare Energie</v>
      </c>
      <c r="C15" s="263"/>
      <c r="D15" s="74"/>
      <c r="E15" s="273"/>
      <c r="F15" s="274"/>
      <c r="G15" s="266"/>
      <c r="H15" s="261"/>
    </row>
    <row r="16" spans="2:17" s="4" customFormat="1" ht="22.5" customHeight="1" x14ac:dyDescent="0.25">
      <c r="B16" s="237" t="str">
        <f>Uebersetzung!D133&amp;" "&amp;Uebersetzung!D43</f>
        <v>C1.4 Nutzung solare Energie Areal</v>
      </c>
      <c r="C16" s="77" t="s">
        <v>10</v>
      </c>
      <c r="D16" s="238" t="s">
        <v>36</v>
      </c>
      <c r="E16" s="329">
        <f>IFERROR(Eingabe!Z44,Uebersetzung!D139)</f>
        <v>0</v>
      </c>
      <c r="F16" s="82">
        <f>IFERROR(Eingabe!Z45+Eingabe!Z60*Leistung_Solar,Uebersetzung!D139)</f>
        <v>0</v>
      </c>
      <c r="G16" s="241" t="str">
        <f>IF(E16=0,"-",IF(F16&gt;=E16,Uebersetzung!D$110,Uebersetzung!D$111))</f>
        <v>-</v>
      </c>
    </row>
    <row r="17" spans="2:13" s="4" customFormat="1" ht="22.5" customHeight="1" x14ac:dyDescent="0.2">
      <c r="B17" s="262" t="str">
        <f>Uebersetzung!D134</f>
        <v>C2.1 Treibhausgasemissionen in der Erstellung</v>
      </c>
      <c r="C17" s="263"/>
      <c r="D17" s="275"/>
      <c r="E17" s="276"/>
      <c r="F17" s="277"/>
      <c r="G17" s="266"/>
      <c r="H17" s="261"/>
    </row>
    <row r="18" spans="2:13" s="4" customFormat="1" ht="22.5" customHeight="1" x14ac:dyDescent="0.25">
      <c r="B18" s="267" t="str">
        <f>Uebersetzung!D42</f>
        <v>Treibhausgasemissionen Erstellung aller Neubauten im Areal</v>
      </c>
      <c r="C18" s="278" t="str">
        <f>Uebersetzung!D166</f>
        <v>kgCO2eq/m2 EBF Neubau</v>
      </c>
      <c r="D18" s="268" t="s">
        <v>37</v>
      </c>
      <c r="E18" s="269" t="str">
        <f>IF(H18=Uebersetzung!E123,"-",IFERROR(Eingabe!Z53,Uebersetzung!D139))</f>
        <v>Fehlende Eingabe</v>
      </c>
      <c r="F18" s="270" t="str">
        <f>IF(H18=Uebersetzung!E123,"-",IFERROR(Eingabe!Z54,Uebersetzung!D139))</f>
        <v>Fehlende Eingabe</v>
      </c>
      <c r="G18" s="271" t="str">
        <f>IF(OR(E18=Uebersetzung!D139,H18=Uebersetzung!D123),"-",IF(F18&lt;=E18,Uebersetzung!D$110,Uebersetzung!D$111))</f>
        <v>-</v>
      </c>
      <c r="H18" s="4" t="str">
        <f>IF(AND(Eingabe!Z14&gt;0,Eingabe!Z91=0),Uebersetzung!E123,"")</f>
        <v/>
      </c>
    </row>
    <row r="20" spans="2:13" ht="31.5" customHeight="1" x14ac:dyDescent="0.2">
      <c r="B20" s="2" t="str">
        <f>Uebersetzung!D37</f>
        <v>Energiebezugsflächen des Areals</v>
      </c>
    </row>
    <row r="21" spans="2:13" ht="22.5" customHeight="1" x14ac:dyDescent="0.2">
      <c r="B21" s="279"/>
      <c r="C21" s="280"/>
      <c r="D21" s="444"/>
      <c r="E21" s="444"/>
      <c r="F21" s="233" t="str">
        <f>Uebersetzung!D41</f>
        <v>Projektwert</v>
      </c>
      <c r="G21" s="236"/>
      <c r="H21" s="402"/>
      <c r="I21" s="364"/>
      <c r="J21" s="364"/>
      <c r="K21" s="364"/>
      <c r="L21" s="364"/>
      <c r="M21" s="403"/>
    </row>
    <row r="22" spans="2:13" s="4" customFormat="1" ht="13.9" customHeight="1" x14ac:dyDescent="0.25">
      <c r="B22" s="353" t="str">
        <f>Uebersetzung!D17&amp;" "&amp;Uebersetzung!D118</f>
        <v>Energiebezugsfläche EBF total</v>
      </c>
      <c r="C22" s="354" t="s">
        <v>189</v>
      </c>
      <c r="D22" s="354"/>
      <c r="E22" s="355"/>
      <c r="F22" s="355">
        <f>Eingabe!Z14</f>
        <v>0</v>
      </c>
      <c r="G22" s="251"/>
      <c r="H22" s="404"/>
      <c r="M22" s="194"/>
    </row>
    <row r="23" spans="2:13" ht="13.9" customHeight="1" x14ac:dyDescent="0.2">
      <c r="B23" s="247" t="str">
        <f>Uebersetzung!D132</f>
        <v>Neubauten nach Minergie</v>
      </c>
      <c r="C23" s="238" t="s">
        <v>4</v>
      </c>
      <c r="D23" s="238"/>
      <c r="E23" s="283"/>
      <c r="F23" s="282">
        <f>Eingabe!Z91</f>
        <v>0</v>
      </c>
      <c r="G23" s="251"/>
      <c r="H23" s="405"/>
      <c r="M23" s="288"/>
    </row>
    <row r="24" spans="2:13" ht="13.9" customHeight="1" x14ac:dyDescent="0.2">
      <c r="B24" s="247" t="str">
        <f>Uebersetzung!D146</f>
        <v>Erneuerungen nach Minergie (inkl. Systemerneuerungen)</v>
      </c>
      <c r="C24" s="238" t="s">
        <v>4</v>
      </c>
      <c r="D24" s="238"/>
      <c r="E24" s="283"/>
      <c r="F24" s="282">
        <f>Eingabe!Z15-Eingabe!Z91+Eingabe!Z16</f>
        <v>0</v>
      </c>
      <c r="G24" s="251"/>
      <c r="H24" s="405"/>
      <c r="M24" s="288"/>
    </row>
    <row r="25" spans="2:13" ht="13.9" customHeight="1" x14ac:dyDescent="0.2">
      <c r="B25" s="247" t="str">
        <f>Uebersetzung!D32</f>
        <v>Bestandesbauten mit Ausnahmeregelung</v>
      </c>
      <c r="C25" s="238" t="s">
        <v>4</v>
      </c>
      <c r="D25" s="238"/>
      <c r="E25" s="283"/>
      <c r="F25" s="282">
        <f>Eingabe!Z18</f>
        <v>0</v>
      </c>
      <c r="G25" s="251"/>
      <c r="H25" s="405"/>
      <c r="M25" s="288"/>
    </row>
    <row r="26" spans="2:13" ht="13.9" customHeight="1" x14ac:dyDescent="0.2">
      <c r="B26" s="284"/>
      <c r="C26" s="285"/>
      <c r="D26" s="285"/>
      <c r="E26" s="286"/>
      <c r="F26" s="286"/>
      <c r="G26" s="287"/>
      <c r="H26" s="405"/>
      <c r="M26" s="288"/>
    </row>
    <row r="27" spans="2:13" ht="13.9" customHeight="1" x14ac:dyDescent="0.2">
      <c r="B27" s="39" t="str">
        <f>Uebersetzung!D175</f>
        <v>Energiebezugsflächen EBF nach Gebäudekategorie</v>
      </c>
      <c r="G27" s="288"/>
      <c r="H27" s="405"/>
      <c r="M27" s="288"/>
    </row>
    <row r="28" spans="2:13" s="4" customFormat="1" ht="13.9" customHeight="1" x14ac:dyDescent="0.25">
      <c r="B28" s="247" t="str">
        <f>Eingabe!C161</f>
        <v>Wohnen</v>
      </c>
      <c r="C28" s="238" t="s">
        <v>4</v>
      </c>
      <c r="D28" s="238"/>
      <c r="E28" s="282"/>
      <c r="F28" s="282">
        <f>Eingabe!N161</f>
        <v>0</v>
      </c>
      <c r="G28" s="251"/>
      <c r="H28" s="404"/>
      <c r="M28" s="194"/>
    </row>
    <row r="29" spans="2:13" s="4" customFormat="1" ht="13.9" customHeight="1" x14ac:dyDescent="0.25">
      <c r="B29" s="247" t="str">
        <f>Eingabe!C162</f>
        <v>Verwaltung</v>
      </c>
      <c r="C29" s="238" t="s">
        <v>4</v>
      </c>
      <c r="D29" s="238"/>
      <c r="E29" s="282"/>
      <c r="F29" s="282">
        <f>Eingabe!N162</f>
        <v>0</v>
      </c>
      <c r="G29" s="251"/>
      <c r="H29" s="404"/>
      <c r="M29" s="194"/>
    </row>
    <row r="30" spans="2:13" s="4" customFormat="1" ht="13.9" customHeight="1" x14ac:dyDescent="0.25">
      <c r="B30" s="247" t="str">
        <f>Eingabe!C163</f>
        <v xml:space="preserve">Schulen </v>
      </c>
      <c r="C30" s="238" t="s">
        <v>4</v>
      </c>
      <c r="D30" s="238"/>
      <c r="E30" s="282"/>
      <c r="F30" s="282">
        <f>Eingabe!N163</f>
        <v>0</v>
      </c>
      <c r="G30" s="251"/>
      <c r="H30" s="404"/>
      <c r="M30" s="194"/>
    </row>
    <row r="31" spans="2:13" s="4" customFormat="1" ht="13.9" customHeight="1" x14ac:dyDescent="0.25">
      <c r="B31" s="247" t="str">
        <f>Eingabe!C164</f>
        <v>Verkauf</v>
      </c>
      <c r="C31" s="238" t="s">
        <v>4</v>
      </c>
      <c r="D31" s="238"/>
      <c r="E31" s="282"/>
      <c r="F31" s="282">
        <f>Eingabe!N164</f>
        <v>0</v>
      </c>
      <c r="G31" s="251"/>
      <c r="H31" s="404"/>
      <c r="M31" s="194"/>
    </row>
    <row r="32" spans="2:13" s="4" customFormat="1" ht="13.9" customHeight="1" x14ac:dyDescent="0.25">
      <c r="B32" s="247" t="str">
        <f>Eingabe!C165</f>
        <v>Restaurant</v>
      </c>
      <c r="C32" s="238" t="s">
        <v>4</v>
      </c>
      <c r="D32" s="238"/>
      <c r="E32" s="282"/>
      <c r="F32" s="282">
        <f>Eingabe!N165</f>
        <v>0</v>
      </c>
      <c r="G32" s="251"/>
      <c r="H32" s="404"/>
      <c r="M32" s="194"/>
    </row>
    <row r="33" spans="2:13" s="4" customFormat="1" ht="13.9" customHeight="1" x14ac:dyDescent="0.25">
      <c r="B33" s="247" t="str">
        <f>Eingabe!C166</f>
        <v>Versammlung</v>
      </c>
      <c r="C33" s="238" t="s">
        <v>4</v>
      </c>
      <c r="D33" s="238"/>
      <c r="E33" s="282"/>
      <c r="F33" s="282">
        <f>Eingabe!N166</f>
        <v>0</v>
      </c>
      <c r="G33" s="251"/>
      <c r="H33" s="404"/>
      <c r="M33" s="194"/>
    </row>
    <row r="34" spans="2:13" s="4" customFormat="1" ht="13.9" customHeight="1" x14ac:dyDescent="0.25">
      <c r="B34" s="247" t="str">
        <f>Eingabe!C167</f>
        <v>Spitäler</v>
      </c>
      <c r="C34" s="238" t="s">
        <v>4</v>
      </c>
      <c r="D34" s="238"/>
      <c r="E34" s="282"/>
      <c r="F34" s="282">
        <f>Eingabe!N167</f>
        <v>0</v>
      </c>
      <c r="G34" s="251"/>
      <c r="H34" s="404"/>
      <c r="M34" s="194"/>
    </row>
    <row r="35" spans="2:13" s="4" customFormat="1" ht="13.9" customHeight="1" x14ac:dyDescent="0.25">
      <c r="B35" s="247" t="str">
        <f>Eingabe!C168</f>
        <v>Industrie</v>
      </c>
      <c r="C35" s="238" t="s">
        <v>4</v>
      </c>
      <c r="D35" s="238"/>
      <c r="E35" s="282"/>
      <c r="F35" s="282">
        <f>Eingabe!N168</f>
        <v>0</v>
      </c>
      <c r="G35" s="251"/>
      <c r="H35" s="404"/>
      <c r="M35" s="194"/>
    </row>
    <row r="36" spans="2:13" s="4" customFormat="1" ht="13.9" customHeight="1" x14ac:dyDescent="0.25">
      <c r="B36" s="247" t="str">
        <f>Eingabe!C169</f>
        <v>Lager</v>
      </c>
      <c r="C36" s="238" t="s">
        <v>4</v>
      </c>
      <c r="D36" s="238"/>
      <c r="E36" s="282"/>
      <c r="F36" s="282">
        <f>Eingabe!N169</f>
        <v>0</v>
      </c>
      <c r="G36" s="251"/>
      <c r="H36" s="404"/>
      <c r="M36" s="194"/>
    </row>
    <row r="37" spans="2:13" s="4" customFormat="1" ht="13.9" customHeight="1" x14ac:dyDescent="0.25">
      <c r="B37" s="247" t="str">
        <f>Eingabe!C170</f>
        <v>Sportbauten</v>
      </c>
      <c r="C37" s="238" t="s">
        <v>4</v>
      </c>
      <c r="D37" s="238"/>
      <c r="E37" s="282"/>
      <c r="F37" s="282">
        <f>Eingabe!N170</f>
        <v>0</v>
      </c>
      <c r="G37" s="251"/>
      <c r="H37" s="404"/>
      <c r="M37" s="194"/>
    </row>
    <row r="38" spans="2:13" s="4" customFormat="1" ht="13.9" customHeight="1" x14ac:dyDescent="0.25">
      <c r="B38" s="247" t="str">
        <f>Eingabe!C171</f>
        <v>Hallenbäder</v>
      </c>
      <c r="C38" s="238" t="s">
        <v>4</v>
      </c>
      <c r="D38" s="238"/>
      <c r="E38" s="282"/>
      <c r="F38" s="282">
        <f>Eingabe!N171</f>
        <v>0</v>
      </c>
      <c r="G38" s="251"/>
      <c r="H38" s="404"/>
      <c r="M38" s="194"/>
    </row>
    <row r="39" spans="2:13" ht="25.9" customHeight="1" x14ac:dyDescent="0.2">
      <c r="B39" s="361"/>
      <c r="C39" s="362"/>
      <c r="D39" s="362"/>
      <c r="E39" s="363"/>
      <c r="F39" s="448" t="str">
        <f>IF(Eingabe!N172=Eingabe!Z14,"",Uebersetzung!D178)</f>
        <v/>
      </c>
      <c r="G39" s="449"/>
      <c r="H39" s="289"/>
      <c r="I39" s="291"/>
      <c r="J39" s="291"/>
      <c r="K39" s="291"/>
      <c r="L39" s="291"/>
      <c r="M39" s="292"/>
    </row>
    <row r="40" spans="2:13" x14ac:dyDescent="0.2">
      <c r="B40" s="364"/>
      <c r="C40" s="38"/>
      <c r="D40" s="38"/>
      <c r="E40" s="364"/>
      <c r="F40" s="364"/>
      <c r="G40" s="364"/>
    </row>
    <row r="41" spans="2:13" ht="26.25" customHeight="1" x14ac:dyDescent="0.2">
      <c r="B41" s="2" t="str">
        <f>Uebersetzung!D149</f>
        <v>Unterschrift</v>
      </c>
    </row>
    <row r="42" spans="2:13" ht="25.5" customHeight="1" x14ac:dyDescent="0.2">
      <c r="B42" s="439" t="str">
        <f>Uebersetzung!D148</f>
        <v>Die Bauherrschaft / Areal-Organisation bestätigt, dass die gemachten Angaben im vorliegenden Hilfstool korrekt sind.</v>
      </c>
      <c r="C42" s="440"/>
      <c r="D42" s="440"/>
      <c r="E42" s="440"/>
      <c r="F42" s="440"/>
      <c r="G42" s="441"/>
    </row>
    <row r="43" spans="2:13" ht="26.25" customHeight="1" x14ac:dyDescent="0.2">
      <c r="B43" s="281" t="str">
        <f>Uebersetzung!D152</f>
        <v>Name und Vorname</v>
      </c>
      <c r="C43" s="438"/>
      <c r="D43" s="438"/>
      <c r="E43" s="438"/>
      <c r="F43" s="438"/>
      <c r="G43" s="288"/>
    </row>
    <row r="44" spans="2:13" ht="26.25" customHeight="1" x14ac:dyDescent="0.2">
      <c r="B44" s="281" t="str">
        <f>Uebersetzung!D150</f>
        <v>Ort</v>
      </c>
      <c r="C44" s="438"/>
      <c r="D44" s="438"/>
      <c r="E44" s="438"/>
      <c r="F44" s="438"/>
      <c r="G44" s="288"/>
    </row>
    <row r="45" spans="2:13" ht="26.25" customHeight="1" x14ac:dyDescent="0.2">
      <c r="B45" s="281" t="str">
        <f>Uebersetzung!D151</f>
        <v>Datum</v>
      </c>
      <c r="C45" s="447"/>
      <c r="D45" s="438"/>
      <c r="E45" s="438"/>
      <c r="F45" s="438"/>
      <c r="G45" s="288"/>
    </row>
    <row r="46" spans="2:13" ht="26.25" customHeight="1" x14ac:dyDescent="0.2">
      <c r="B46" s="281" t="str">
        <f>Uebersetzung!D149</f>
        <v>Unterschrift</v>
      </c>
      <c r="C46" s="438"/>
      <c r="D46" s="438"/>
      <c r="E46" s="438"/>
      <c r="F46" s="438"/>
      <c r="G46" s="288"/>
    </row>
    <row r="47" spans="2:13" x14ac:dyDescent="0.2">
      <c r="B47" s="289"/>
      <c r="C47" s="290"/>
      <c r="D47" s="290"/>
      <c r="E47" s="291"/>
      <c r="F47" s="291"/>
      <c r="G47" s="292"/>
    </row>
    <row r="49" spans="3:5" x14ac:dyDescent="0.2">
      <c r="C49" s="1"/>
      <c r="E49" s="3"/>
    </row>
  </sheetData>
  <sheetProtection algorithmName="SHA-512" hashValue="Wkmv76NjGT1pbdg532qv0DaF6ovk4AyqgSbovq6P2EgOA/wW4aQ+A4/6GYwqcr4oBxpa1Hwk3sa5Q/oB4wUBIw==" saltValue="ejoqriw1/v76zFl8X9Iu9w==" spinCount="100000" sheet="1" formatColumns="0"/>
  <mergeCells count="10">
    <mergeCell ref="E2:F2"/>
    <mergeCell ref="C46:F46"/>
    <mergeCell ref="B42:G42"/>
    <mergeCell ref="D5:E5"/>
    <mergeCell ref="D21:E21"/>
    <mergeCell ref="B7:C7"/>
    <mergeCell ref="C43:F43"/>
    <mergeCell ref="C44:F44"/>
    <mergeCell ref="C45:F45"/>
    <mergeCell ref="F39:G39"/>
  </mergeCells>
  <conditionalFormatting sqref="B10:H12">
    <cfRule type="expression" dxfId="7" priority="2">
      <formula>IF($C$9&lt;&gt;KompensationJa,1,0)</formula>
    </cfRule>
  </conditionalFormatting>
  <conditionalFormatting sqref="C17 C9">
    <cfRule type="cellIs" dxfId="5"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G7:G18 G22 G28:G38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G7:G18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88"/>
  <sheetViews>
    <sheetView showGridLines="0" zoomScale="85" zoomScaleNormal="85" workbookViewId="0">
      <selection activeCell="A96" sqref="A96"/>
    </sheetView>
  </sheetViews>
  <sheetFormatPr baseColWidth="10" defaultColWidth="10.85546875" defaultRowHeight="12.75" x14ac:dyDescent="0.2"/>
  <cols>
    <col min="1" max="1" width="25.85546875" style="384" customWidth="1"/>
    <col min="2" max="2" width="43.85546875" style="58" customWidth="1"/>
    <col min="3" max="3" width="19.85546875" style="58" bestFit="1" customWidth="1"/>
    <col min="4" max="4" width="20.42578125" style="58" customWidth="1"/>
    <col min="5" max="5" width="20" style="58" customWidth="1"/>
    <col min="6" max="16384" width="10.85546875" style="58"/>
  </cols>
  <sheetData>
    <row r="1" spans="1:8" ht="38.25" x14ac:dyDescent="0.2">
      <c r="A1" s="375" t="str">
        <f>Uebersetzung!E141</f>
        <v>Liste</v>
      </c>
      <c r="B1" s="376"/>
      <c r="C1" s="379" t="str">
        <f>Uebersetzung!D119&amp;" [kgCO2/m2]"</f>
        <v>Basisgrenzwert THGE EBF [kgCO2/m2]</v>
      </c>
      <c r="D1" s="379" t="str">
        <f>Uebersetzung!D120&amp;" [kgCO2/m2]"</f>
        <v>Basisgrenzwert THGE GF-EBF [kgCO2/m2]</v>
      </c>
      <c r="E1" s="380" t="str">
        <f>Uebersetzung!D35&amp;" [kgCO2/m2]"</f>
        <v>Abschlag Rückbau [kgCO2/m2]</v>
      </c>
    </row>
    <row r="2" spans="1:8" s="57" customFormat="1" x14ac:dyDescent="0.2">
      <c r="A2" s="375" t="str">
        <f>Uebersetzung!D16</f>
        <v>Gebäudekategorie</v>
      </c>
      <c r="B2" s="376" t="str">
        <f>Uebersetzung!D44</f>
        <v>Wohnen MFH</v>
      </c>
      <c r="C2" s="381">
        <v>12.4</v>
      </c>
      <c r="D2" s="381">
        <v>5.5</v>
      </c>
      <c r="E2" s="382">
        <v>11</v>
      </c>
    </row>
    <row r="3" spans="1:8" x14ac:dyDescent="0.2">
      <c r="B3" s="376" t="str">
        <f>Uebersetzung!D45</f>
        <v>Wohnen EFH</v>
      </c>
      <c r="C3" s="381">
        <v>13.6</v>
      </c>
      <c r="D3" s="381">
        <v>5.5</v>
      </c>
      <c r="E3" s="382">
        <v>12</v>
      </c>
      <c r="F3" s="57"/>
      <c r="G3" s="57"/>
      <c r="H3" s="57"/>
    </row>
    <row r="4" spans="1:8" x14ac:dyDescent="0.2">
      <c r="B4" s="376" t="str">
        <f>Uebersetzung!D46</f>
        <v>Verwaltung</v>
      </c>
      <c r="C4" s="381">
        <v>13.6</v>
      </c>
      <c r="D4" s="381">
        <v>5.5</v>
      </c>
      <c r="E4" s="382">
        <v>12</v>
      </c>
      <c r="F4" s="57"/>
      <c r="G4" s="57"/>
      <c r="H4" s="57"/>
    </row>
    <row r="5" spans="1:8" x14ac:dyDescent="0.2">
      <c r="B5" s="376" t="str">
        <f>Uebersetzung!D47</f>
        <v xml:space="preserve">Schulen </v>
      </c>
      <c r="C5" s="381">
        <v>12.4</v>
      </c>
      <c r="D5" s="381">
        <v>5.5</v>
      </c>
      <c r="E5" s="382">
        <v>11</v>
      </c>
      <c r="F5" s="57"/>
      <c r="G5" s="57"/>
      <c r="H5" s="57"/>
    </row>
    <row r="6" spans="1:8" x14ac:dyDescent="0.2">
      <c r="B6" s="376" t="str">
        <f>Uebersetzung!D48</f>
        <v>Verkauf</v>
      </c>
      <c r="C6" s="381">
        <v>19.899999999999999</v>
      </c>
      <c r="D6" s="381">
        <v>5.5</v>
      </c>
      <c r="E6" s="382">
        <v>17</v>
      </c>
      <c r="F6" s="57"/>
      <c r="G6" s="57"/>
      <c r="H6" s="57"/>
    </row>
    <row r="7" spans="1:8" x14ac:dyDescent="0.2">
      <c r="B7" s="376" t="str">
        <f>Uebersetzung!D49</f>
        <v>Restaurant</v>
      </c>
      <c r="C7" s="381">
        <v>16.100000000000001</v>
      </c>
      <c r="D7" s="381">
        <v>5.5</v>
      </c>
      <c r="E7" s="382">
        <v>14</v>
      </c>
      <c r="F7" s="57"/>
      <c r="G7" s="57"/>
      <c r="H7" s="57"/>
    </row>
    <row r="8" spans="1:8" x14ac:dyDescent="0.2">
      <c r="B8" s="376" t="str">
        <f>Uebersetzung!D50</f>
        <v>Versammlung</v>
      </c>
      <c r="C8" s="381">
        <v>17.399999999999999</v>
      </c>
      <c r="D8" s="381">
        <v>5.5</v>
      </c>
      <c r="E8" s="382">
        <v>15</v>
      </c>
      <c r="F8" s="57"/>
      <c r="G8" s="57"/>
      <c r="H8" s="57"/>
    </row>
    <row r="9" spans="1:8" x14ac:dyDescent="0.2">
      <c r="B9" s="376" t="str">
        <f>Uebersetzung!D51</f>
        <v>Spitäler</v>
      </c>
      <c r="C9" s="381">
        <v>19.899999999999999</v>
      </c>
      <c r="D9" s="381">
        <v>5.5</v>
      </c>
      <c r="E9" s="382">
        <v>17</v>
      </c>
      <c r="F9" s="57"/>
      <c r="G9" s="57"/>
      <c r="H9" s="57"/>
    </row>
    <row r="10" spans="1:8" x14ac:dyDescent="0.2">
      <c r="B10" s="376" t="str">
        <f>Uebersetzung!D52</f>
        <v>Industrie</v>
      </c>
      <c r="C10" s="381">
        <v>17.399999999999999</v>
      </c>
      <c r="D10" s="381">
        <v>5.5</v>
      </c>
      <c r="E10" s="382">
        <v>15</v>
      </c>
      <c r="F10" s="57"/>
      <c r="G10" s="57"/>
      <c r="H10" s="57"/>
    </row>
    <row r="11" spans="1:8" x14ac:dyDescent="0.2">
      <c r="B11" s="376" t="str">
        <f>Uebersetzung!D53</f>
        <v>Lager</v>
      </c>
      <c r="C11" s="381">
        <v>17.399999999999999</v>
      </c>
      <c r="D11" s="381">
        <v>5.5</v>
      </c>
      <c r="E11" s="382">
        <v>15</v>
      </c>
      <c r="F11" s="57"/>
      <c r="G11" s="57"/>
      <c r="H11" s="57"/>
    </row>
    <row r="12" spans="1:8" x14ac:dyDescent="0.2">
      <c r="B12" s="376" t="str">
        <f>Uebersetzung!D54</f>
        <v>Sportbauten</v>
      </c>
      <c r="C12" s="381">
        <v>17.399999999999999</v>
      </c>
      <c r="D12" s="381">
        <v>5.5</v>
      </c>
      <c r="E12" s="382">
        <v>15</v>
      </c>
      <c r="F12" s="57"/>
      <c r="G12" s="57"/>
      <c r="H12" s="57"/>
    </row>
    <row r="13" spans="1:8" x14ac:dyDescent="0.2">
      <c r="B13" s="376" t="str">
        <f>Uebersetzung!D55</f>
        <v>Hallenbäder</v>
      </c>
      <c r="C13" s="381">
        <v>17.399999999999999</v>
      </c>
      <c r="D13" s="381">
        <v>5.5</v>
      </c>
      <c r="E13" s="382">
        <v>15</v>
      </c>
      <c r="F13" s="57"/>
      <c r="G13" s="57"/>
      <c r="H13" s="57"/>
    </row>
    <row r="14" spans="1:8" x14ac:dyDescent="0.2">
      <c r="F14" s="57"/>
    </row>
    <row r="16" spans="1:8" x14ac:dyDescent="0.2">
      <c r="A16" s="375" t="str">
        <f>Uebersetzung!E28</f>
        <v>Standard</v>
      </c>
      <c r="B16" s="376" t="str">
        <f>Uebersetzung!D57</f>
        <v>Minergie</v>
      </c>
    </row>
    <row r="17" spans="1:2" x14ac:dyDescent="0.2">
      <c r="B17" s="376" t="str">
        <f>Uebersetzung!D58</f>
        <v>Minergie-A</v>
      </c>
    </row>
    <row r="18" spans="1:2" x14ac:dyDescent="0.2">
      <c r="B18" s="376" t="str">
        <f>Uebersetzung!D59</f>
        <v>Minergie-P</v>
      </c>
    </row>
    <row r="19" spans="1:2" x14ac:dyDescent="0.2">
      <c r="B19" s="376" t="str">
        <f>Uebersetzung!D60</f>
        <v>Minergie-ECO</v>
      </c>
    </row>
    <row r="20" spans="1:2" x14ac:dyDescent="0.2">
      <c r="B20" s="376" t="str">
        <f>Uebersetzung!D61</f>
        <v>Minergie-A-ECO</v>
      </c>
    </row>
    <row r="21" spans="1:2" x14ac:dyDescent="0.2">
      <c r="B21" s="376" t="str">
        <f>Uebersetzung!D62</f>
        <v>Minergie-P-ECO</v>
      </c>
    </row>
    <row r="22" spans="1:2" x14ac:dyDescent="0.2">
      <c r="B22" s="376" t="str">
        <f>Uebersetzung!D63</f>
        <v>Noch offen</v>
      </c>
    </row>
    <row r="24" spans="1:2" ht="25.5" x14ac:dyDescent="0.2">
      <c r="A24" s="375" t="str">
        <f>Uebersetzung!D18</f>
        <v>Art des Bauvorhabens</v>
      </c>
      <c r="B24" s="376" t="str">
        <f>Uebersetzung!D64</f>
        <v>Neubau / Erneuerung nach Minergie</v>
      </c>
    </row>
    <row r="25" spans="1:2" x14ac:dyDescent="0.2">
      <c r="B25" s="376" t="str">
        <f>Uebersetzung!D143</f>
        <v>Systemerneuerung nach Minergie</v>
      </c>
    </row>
    <row r="26" spans="1:2" x14ac:dyDescent="0.2">
      <c r="B26" s="376" t="str">
        <f>Uebersetzung!D67</f>
        <v>Bestandesbau mit Ausnahmeregelung</v>
      </c>
    </row>
    <row r="28" spans="1:2" ht="25.5" x14ac:dyDescent="0.2">
      <c r="A28" s="375" t="str">
        <f>Uebersetzung!D20</f>
        <v>Begründung für Ausnahmeregelung</v>
      </c>
      <c r="B28" s="376" t="str">
        <f>Uebersetzung!D68</f>
        <v>Schutzinventar</v>
      </c>
    </row>
    <row r="29" spans="1:2" x14ac:dyDescent="0.2">
      <c r="B29" s="376" t="str">
        <f>Uebersetzung!D69</f>
        <v>Bestehendes Minergie-Zertifikat</v>
      </c>
    </row>
    <row r="30" spans="1:2" x14ac:dyDescent="0.2">
      <c r="B30" s="376" t="str">
        <f>Uebersetzung!D70</f>
        <v>GEAK A/B/C oder SNBS Zertifikat</v>
      </c>
    </row>
    <row r="31" spans="1:2" x14ac:dyDescent="0.2">
      <c r="B31" s="383" t="str">
        <f>Uebersetzung!D128</f>
        <v>Keiner der genannten Gründe</v>
      </c>
    </row>
    <row r="33" spans="1:3" x14ac:dyDescent="0.2">
      <c r="B33" s="376"/>
      <c r="C33" s="378" t="str">
        <f>Uebersetzung!D98</f>
        <v>Erlaubt im Minergie-Areal?</v>
      </c>
    </row>
    <row r="34" spans="1:3" x14ac:dyDescent="0.2">
      <c r="A34" s="375" t="str">
        <f>Uebersetzung!D76</f>
        <v>Wärmeerzeugung</v>
      </c>
      <c r="B34" s="376" t="str">
        <f>Uebersetzung!D77</f>
        <v>Ab- / Zuluft-WP</v>
      </c>
      <c r="C34" s="376">
        <v>1</v>
      </c>
    </row>
    <row r="35" spans="1:3" x14ac:dyDescent="0.2">
      <c r="B35" s="376" t="str">
        <f>Uebersetzung!D78</f>
        <v>Abwärme aus Gewerbe-/Klimakälte</v>
      </c>
      <c r="C35" s="376">
        <v>1</v>
      </c>
    </row>
    <row r="36" spans="1:3" x14ac:dyDescent="0.2">
      <c r="B36" s="376" t="str">
        <f>Uebersetzung!D79</f>
        <v>Abwasser-WP</v>
      </c>
      <c r="C36" s="376">
        <v>1</v>
      </c>
    </row>
    <row r="37" spans="1:3" x14ac:dyDescent="0.2">
      <c r="B37" s="376" t="str">
        <f>Uebersetzung!D80</f>
        <v>Elektro-Wassererwärmer</v>
      </c>
      <c r="C37" s="376">
        <v>1</v>
      </c>
    </row>
    <row r="38" spans="1:3" x14ac:dyDescent="0.2">
      <c r="B38" s="376" t="str">
        <f>Uebersetzung!D81</f>
        <v>Erdregister-WP</v>
      </c>
      <c r="C38" s="376">
        <v>1</v>
      </c>
    </row>
    <row r="39" spans="1:3" x14ac:dyDescent="0.2">
      <c r="B39" s="376" t="str">
        <f>Uebersetzung!D82</f>
        <v>Erdsonden-WP</v>
      </c>
      <c r="C39" s="376">
        <v>1</v>
      </c>
    </row>
    <row r="40" spans="1:3" x14ac:dyDescent="0.2">
      <c r="B40" s="376" t="str">
        <f>Uebersetzung!D83</f>
        <v>Fernwärme (&lt;=25% nicht erneuerbar)</v>
      </c>
      <c r="C40" s="376">
        <v>1</v>
      </c>
    </row>
    <row r="41" spans="1:3" x14ac:dyDescent="0.2">
      <c r="B41" s="376" t="str">
        <f>Uebersetzung!D84</f>
        <v>Fernwärme (&lt;=50% nicht erneuerbar)</v>
      </c>
      <c r="C41" s="376">
        <v>0</v>
      </c>
    </row>
    <row r="42" spans="1:3" x14ac:dyDescent="0.2">
      <c r="B42" s="376" t="str">
        <f>Uebersetzung!D85</f>
        <v>Fernwärme (&lt;=75% nicht erneuerbar)</v>
      </c>
      <c r="C42" s="376">
        <v>0</v>
      </c>
    </row>
    <row r="43" spans="1:3" x14ac:dyDescent="0.2">
      <c r="B43" s="376" t="str">
        <f>Uebersetzung!D86</f>
        <v>Fernwärme (&gt;75% nicht erneuerbar)</v>
      </c>
      <c r="C43" s="376">
        <v>0</v>
      </c>
    </row>
    <row r="44" spans="1:3" x14ac:dyDescent="0.2">
      <c r="B44" s="376" t="str">
        <f>Uebersetzung!D87</f>
        <v>Gasfeuerung / Gas-Wassererwärmer</v>
      </c>
      <c r="C44" s="376">
        <v>0</v>
      </c>
    </row>
    <row r="45" spans="1:3" x14ac:dyDescent="0.2">
      <c r="B45" s="376" t="str">
        <f>Uebersetzung!D88</f>
        <v>Gaswärmepumpe</v>
      </c>
      <c r="C45" s="376">
        <v>0</v>
      </c>
    </row>
    <row r="46" spans="1:3" x14ac:dyDescent="0.2">
      <c r="B46" s="376" t="str">
        <f>Uebersetzung!D89</f>
        <v>Grundwasser-WP</v>
      </c>
      <c r="C46" s="376">
        <v>1</v>
      </c>
    </row>
    <row r="47" spans="1:3" x14ac:dyDescent="0.2">
      <c r="B47" s="376" t="str">
        <f>Uebersetzung!D90</f>
        <v>Holzfeuerung</v>
      </c>
      <c r="C47" s="376">
        <v>1</v>
      </c>
    </row>
    <row r="48" spans="1:3" x14ac:dyDescent="0.2">
      <c r="B48" s="376" t="str">
        <f>Uebersetzung!D91</f>
        <v>Kompakt-WP</v>
      </c>
      <c r="C48" s="376">
        <v>1</v>
      </c>
    </row>
    <row r="49" spans="1:5" x14ac:dyDescent="0.2">
      <c r="B49" s="376" t="str">
        <f>Uebersetzung!D92</f>
        <v>Luft-Wärmepumpe</v>
      </c>
      <c r="C49" s="376">
        <v>1</v>
      </c>
    </row>
    <row r="50" spans="1:5" x14ac:dyDescent="0.2">
      <c r="B50" s="376" t="str">
        <f>Uebersetzung!D93</f>
        <v>Ölfeuerung</v>
      </c>
      <c r="C50" s="376">
        <v>0</v>
      </c>
    </row>
    <row r="51" spans="1:5" x14ac:dyDescent="0.2">
      <c r="B51" s="376" t="str">
        <f>Uebersetzung!D94</f>
        <v>Pelletfeuerung</v>
      </c>
      <c r="C51" s="376">
        <v>1</v>
      </c>
    </row>
    <row r="52" spans="1:5" x14ac:dyDescent="0.2">
      <c r="B52" s="376" t="str">
        <f>Uebersetzung!D95</f>
        <v>Solarenergie thermisch</v>
      </c>
      <c r="C52" s="376">
        <v>1</v>
      </c>
    </row>
    <row r="53" spans="1:5" x14ac:dyDescent="0.2">
      <c r="B53" s="376" t="str">
        <f>Uebersetzung!D96</f>
        <v>WKK</v>
      </c>
      <c r="C53" s="376">
        <v>1</v>
      </c>
    </row>
    <row r="56" spans="1:5" x14ac:dyDescent="0.2">
      <c r="B56" s="376"/>
      <c r="C56" s="378" t="str">
        <f>Uebersetzung!D27&amp;", "&amp;Uebersetzung!E40&amp;" [kWp/m2]"</f>
        <v>Eigenstromerzeugung, Anforderung [kWp/m2]</v>
      </c>
    </row>
    <row r="57" spans="1:5" ht="38.25" x14ac:dyDescent="0.2">
      <c r="A57" s="375" t="str">
        <f>Uebersetzung!D109&amp;" "&amp;Uebersetzung!D27</f>
        <v>Neubau Eigenstromerzeugung</v>
      </c>
      <c r="B57" s="376" t="str">
        <f>Uebersetzung!D110</f>
        <v>Ja</v>
      </c>
      <c r="C57" s="376">
        <v>0.02</v>
      </c>
    </row>
    <row r="58" spans="1:5" x14ac:dyDescent="0.2">
      <c r="B58" s="376" t="str">
        <f>Uebersetzung!D111</f>
        <v>Nein</v>
      </c>
      <c r="C58" s="376">
        <v>0.01</v>
      </c>
    </row>
    <row r="60" spans="1:5" ht="38.25" x14ac:dyDescent="0.2">
      <c r="A60" s="375" t="str">
        <f>Uebersetzung!D157&amp;" "&amp;Uebersetzung!D27</f>
        <v>Bestandesbauten Eigenstromerzeugung</v>
      </c>
      <c r="B60" s="376" t="str">
        <f>Systemerneuerung</f>
        <v>Systemerneuerung nach Minergie</v>
      </c>
      <c r="C60" s="376">
        <f>$C$58</f>
        <v>0.01</v>
      </c>
    </row>
    <row r="61" spans="1:5" x14ac:dyDescent="0.2">
      <c r="B61" s="376" t="str">
        <f>BestAusnahme</f>
        <v>Bestandesbau mit Ausnahmeregelung</v>
      </c>
      <c r="C61" s="376">
        <f>$C$58</f>
        <v>0.01</v>
      </c>
    </row>
    <row r="64" spans="1:5" x14ac:dyDescent="0.2">
      <c r="B64" s="376"/>
      <c r="C64" s="378" t="str">
        <f>Uebersetzung!D114</f>
        <v>Zuschläge und Abschläge ganzes Gebäude</v>
      </c>
      <c r="D64" s="376"/>
      <c r="E64" s="378" t="str">
        <f>Uebersetzung!D184</f>
        <v>Anrechnung PV-Anlage (20% Eigenverbrauch + 40% der Einspeisung)</v>
      </c>
    </row>
    <row r="65" spans="1:5" ht="25.5" x14ac:dyDescent="0.2">
      <c r="A65" s="375" t="str">
        <f>Uebersetzung!D114</f>
        <v>Zuschläge und Abschläge ganzes Gebäude</v>
      </c>
      <c r="B65" s="376" t="str">
        <f>Uebersetzung!D115</f>
        <v>PV-Anlage</v>
      </c>
      <c r="C65" s="377">
        <f>7.1/Leistung_Solar</f>
        <v>37.866666666666667</v>
      </c>
      <c r="D65" s="376" t="s">
        <v>131</v>
      </c>
      <c r="E65" s="385">
        <f>20%+80%*40%</f>
        <v>0.52</v>
      </c>
    </row>
    <row r="66" spans="1:5" x14ac:dyDescent="0.2">
      <c r="B66" s="376" t="str">
        <f>Uebersetzung!D116</f>
        <v>Thermische Solarkollektoren</v>
      </c>
      <c r="C66" s="376">
        <v>5.6</v>
      </c>
      <c r="D66" s="376" t="s">
        <v>133</v>
      </c>
    </row>
    <row r="67" spans="1:5" x14ac:dyDescent="0.2">
      <c r="B67" s="378" t="str">
        <f>Uebersetzung!D117</f>
        <v>Erdsonde</v>
      </c>
      <c r="C67" s="376"/>
      <c r="D67" s="376"/>
    </row>
    <row r="68" spans="1:5" x14ac:dyDescent="0.2">
      <c r="B68" s="376" t="str">
        <f>B16</f>
        <v>Minergie</v>
      </c>
      <c r="C68" s="376">
        <v>0.3</v>
      </c>
      <c r="D68" s="376" t="s">
        <v>132</v>
      </c>
    </row>
    <row r="69" spans="1:5" x14ac:dyDescent="0.2">
      <c r="B69" s="376" t="str">
        <f t="shared" ref="B69:B74" si="0">B17</f>
        <v>Minergie-A</v>
      </c>
      <c r="C69" s="376">
        <v>0.3</v>
      </c>
      <c r="D69" s="376" t="s">
        <v>132</v>
      </c>
    </row>
    <row r="70" spans="1:5" x14ac:dyDescent="0.2">
      <c r="B70" s="376" t="str">
        <f t="shared" si="0"/>
        <v>Minergie-P</v>
      </c>
      <c r="C70" s="376">
        <v>0.3</v>
      </c>
      <c r="D70" s="376" t="s">
        <v>132</v>
      </c>
    </row>
    <row r="71" spans="1:5" x14ac:dyDescent="0.2">
      <c r="B71" s="376" t="str">
        <f t="shared" si="0"/>
        <v>Minergie-ECO</v>
      </c>
      <c r="C71" s="376">
        <v>0.3</v>
      </c>
      <c r="D71" s="376" t="s">
        <v>132</v>
      </c>
    </row>
    <row r="72" spans="1:5" x14ac:dyDescent="0.2">
      <c r="B72" s="376" t="str">
        <f t="shared" si="0"/>
        <v>Minergie-A-ECO</v>
      </c>
      <c r="C72" s="376">
        <v>0.3</v>
      </c>
      <c r="D72" s="376" t="s">
        <v>132</v>
      </c>
    </row>
    <row r="73" spans="1:5" x14ac:dyDescent="0.2">
      <c r="B73" s="376" t="str">
        <f t="shared" si="0"/>
        <v>Minergie-P-ECO</v>
      </c>
      <c r="C73" s="376">
        <v>0.3</v>
      </c>
      <c r="D73" s="376" t="s">
        <v>132</v>
      </c>
    </row>
    <row r="74" spans="1:5" x14ac:dyDescent="0.2">
      <c r="B74" s="376" t="str">
        <f t="shared" si="0"/>
        <v>Noch offen</v>
      </c>
      <c r="C74" s="376">
        <v>0.3</v>
      </c>
      <c r="D74" s="376" t="s">
        <v>132</v>
      </c>
    </row>
    <row r="76" spans="1:5" x14ac:dyDescent="0.2">
      <c r="A76" s="375" t="str">
        <f>Uebersetzung!D142</f>
        <v>Kompensation</v>
      </c>
      <c r="B76" s="376" t="str">
        <f>Uebersetzung!D110</f>
        <v>Ja</v>
      </c>
    </row>
    <row r="77" spans="1:5" x14ac:dyDescent="0.2">
      <c r="B77" s="376" t="str">
        <f>Uebersetzung!D111</f>
        <v>Nein</v>
      </c>
    </row>
    <row r="79" spans="1:5" ht="25.5" x14ac:dyDescent="0.2">
      <c r="A79" s="375" t="str">
        <f>Uebersetzung!D129</f>
        <v>Effizienz Solarthermie / PV</v>
      </c>
      <c r="B79" s="376">
        <v>0.1875</v>
      </c>
      <c r="C79" s="376" t="s">
        <v>364</v>
      </c>
    </row>
    <row r="82" spans="1:2" ht="63.75" x14ac:dyDescent="0.2">
      <c r="A82" s="375" t="str">
        <f>Uebersetzung!D191</f>
        <v>Bauten im Schutzinventar: lässt kommunale Vorschrift PV-Anlage  zu?</v>
      </c>
      <c r="B82" s="376" t="str">
        <f>Uebersetzung!D192</f>
        <v>PV-Anlage zugelassen</v>
      </c>
    </row>
    <row r="83" spans="1:2" x14ac:dyDescent="0.2">
      <c r="B83" s="376" t="str">
        <f>Uebersetzung!D193</f>
        <v>PV-Anlage nicht zugelassen</v>
      </c>
    </row>
    <row r="88" spans="1:2" x14ac:dyDescent="0.2">
      <c r="A88" s="375" t="str">
        <f>Uebersetzung!D141&amp;" "&amp;Uebersetzung!D194</f>
        <v>Liste leer</v>
      </c>
      <c r="B88" s="37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zoomScale="85" zoomScaleNormal="85" workbookViewId="0">
      <selection activeCell="C1" sqref="C1"/>
    </sheetView>
  </sheetViews>
  <sheetFormatPr baseColWidth="10" defaultColWidth="11.42578125" defaultRowHeight="12" x14ac:dyDescent="0.2"/>
  <cols>
    <col min="1" max="1" width="6.85546875" style="1" customWidth="1"/>
    <col min="2" max="2" width="12.85546875" style="1" customWidth="1"/>
    <col min="3" max="3" width="12.140625" style="3" customWidth="1"/>
    <col min="4" max="4" width="46.140625" style="37" customWidth="1"/>
    <col min="5" max="5" width="51.140625" style="26" customWidth="1"/>
    <col min="6" max="7" width="46.140625" style="26" customWidth="1"/>
    <col min="8" max="8" width="11.42578125" style="1"/>
    <col min="9" max="9" width="6.140625" style="1" customWidth="1"/>
    <col min="10" max="16384" width="11.42578125" style="1"/>
  </cols>
  <sheetData>
    <row r="1" spans="1:9" ht="23.25" customHeight="1" thickBot="1" x14ac:dyDescent="0.25">
      <c r="A1" s="28">
        <f>VLOOKUP(C1,H1:I3,2)</f>
        <v>1</v>
      </c>
      <c r="B1" s="29" t="s">
        <v>42</v>
      </c>
      <c r="C1" s="34" t="s">
        <v>47</v>
      </c>
      <c r="D1" s="35"/>
      <c r="E1" s="22" t="s">
        <v>44</v>
      </c>
      <c r="F1" s="17"/>
      <c r="G1" s="17"/>
      <c r="H1" s="18" t="str">
        <f>E3</f>
        <v>deutsch</v>
      </c>
      <c r="I1" s="19">
        <v>1</v>
      </c>
    </row>
    <row r="2" spans="1:9" ht="23.25" customHeight="1" thickBot="1" x14ac:dyDescent="0.25">
      <c r="A2" s="32">
        <v>1</v>
      </c>
      <c r="B2" s="30"/>
      <c r="C2" s="31">
        <v>2023</v>
      </c>
      <c r="D2" s="27" t="s">
        <v>45</v>
      </c>
      <c r="E2" s="18"/>
      <c r="F2" s="17"/>
      <c r="G2" s="17"/>
      <c r="H2" s="18" t="str">
        <f>F3</f>
        <v>französisch</v>
      </c>
      <c r="I2" s="19">
        <v>2</v>
      </c>
    </row>
    <row r="3" spans="1:9" ht="23.25" customHeight="1" x14ac:dyDescent="0.2">
      <c r="A3" s="21"/>
      <c r="B3" s="20"/>
      <c r="C3" s="20" t="s">
        <v>76</v>
      </c>
      <c r="D3" s="36" t="s">
        <v>46</v>
      </c>
      <c r="E3" s="23" t="s">
        <v>47</v>
      </c>
      <c r="F3" s="24" t="s">
        <v>43</v>
      </c>
      <c r="G3" s="25" t="s">
        <v>48</v>
      </c>
      <c r="H3" s="18" t="str">
        <f>G3</f>
        <v>italienisch</v>
      </c>
      <c r="I3" s="19">
        <v>3</v>
      </c>
    </row>
    <row r="4" spans="1:9" ht="23.25" customHeight="1" x14ac:dyDescent="0.2">
      <c r="C4" s="3">
        <v>1</v>
      </c>
      <c r="D4" s="37" t="str">
        <f t="shared" ref="D4:D35" si="0">INDEX($E$4:$G$503,$C4,$A$1)</f>
        <v>Hilfstool zu Vorgaben A1.1, C1.1, C1.4 und C2.1</v>
      </c>
      <c r="E4" s="26" t="s">
        <v>95</v>
      </c>
      <c r="F4" s="26" t="s">
        <v>371</v>
      </c>
      <c r="G4" s="26" t="s">
        <v>196</v>
      </c>
    </row>
    <row r="5" spans="1:9" x14ac:dyDescent="0.2">
      <c r="C5" s="3">
        <v>2</v>
      </c>
      <c r="D5" s="37" t="str">
        <f t="shared" si="0"/>
        <v>Minergie-Areal</v>
      </c>
      <c r="E5" s="26" t="s">
        <v>0</v>
      </c>
      <c r="F5" s="26" t="s">
        <v>372</v>
      </c>
      <c r="G5" s="26" t="s">
        <v>197</v>
      </c>
    </row>
    <row r="6" spans="1:9" x14ac:dyDescent="0.2">
      <c r="C6" s="3">
        <v>3</v>
      </c>
      <c r="D6" s="37" t="str">
        <f t="shared" si="0"/>
        <v>Anleitung</v>
      </c>
      <c r="E6" s="26" t="s">
        <v>49</v>
      </c>
      <c r="F6" s="26" t="s">
        <v>373</v>
      </c>
      <c r="G6" s="26" t="s">
        <v>198</v>
      </c>
    </row>
    <row r="7" spans="1:9" ht="148.9" customHeight="1" x14ac:dyDescent="0.2">
      <c r="C7" s="3">
        <v>4</v>
      </c>
      <c r="D7" s="37" t="str">
        <f t="shared" si="0"/>
        <v xml:space="preserve">Dieses Hilfstool wird für den Nachweis folgender Vorgaben benötigt:
- A1.1 Zertifizierung nach Minergie (-P/-A/-ECO)
- C1.1 Betriebsenergie
- C1.4 Nutzung solare Energie
- C2.1 Treibhausgasemissionen in der Erstellung
Der Liste "Zu_erbringende_Nachweise_Minergie_Areal_2023.1.D_F_I.xlsm" ist zu entnehmen, welche ergänzenden Nachweise eingereicht werden müssen.
</v>
      </c>
      <c r="E7" s="26" t="s">
        <v>164</v>
      </c>
      <c r="F7" s="26" t="s">
        <v>568</v>
      </c>
      <c r="G7" s="26" t="s">
        <v>351</v>
      </c>
    </row>
    <row r="8" spans="1:9" x14ac:dyDescent="0.2">
      <c r="C8" s="3">
        <v>5</v>
      </c>
      <c r="D8" s="37" t="str">
        <f t="shared" si="0"/>
        <v>Eingabefeld</v>
      </c>
      <c r="E8" s="26" t="s">
        <v>193</v>
      </c>
      <c r="F8" s="26" t="s">
        <v>374</v>
      </c>
      <c r="G8" s="26" t="s">
        <v>199</v>
      </c>
    </row>
    <row r="9" spans="1:9" x14ac:dyDescent="0.2">
      <c r="C9" s="3">
        <v>6</v>
      </c>
      <c r="D9" s="37" t="str">
        <f t="shared" si="0"/>
        <v>Übertrag aus Gebäude-Minergie-Nachweis</v>
      </c>
      <c r="E9" s="26" t="s">
        <v>161</v>
      </c>
      <c r="F9" s="26" t="s">
        <v>375</v>
      </c>
      <c r="G9" s="26" t="s">
        <v>200</v>
      </c>
    </row>
    <row r="10" spans="1:9" x14ac:dyDescent="0.2">
      <c r="C10" s="3">
        <v>7</v>
      </c>
      <c r="D10" s="37" t="str">
        <f t="shared" si="0"/>
        <v>Auswahlfeld</v>
      </c>
      <c r="E10" s="26" t="s">
        <v>194</v>
      </c>
      <c r="F10" s="26" t="s">
        <v>376</v>
      </c>
      <c r="G10" s="26" t="s">
        <v>201</v>
      </c>
    </row>
    <row r="11" spans="1:9" x14ac:dyDescent="0.2">
      <c r="C11" s="3">
        <v>8</v>
      </c>
      <c r="D11" s="37" t="str">
        <f t="shared" si="0"/>
        <v>Version</v>
      </c>
      <c r="E11" s="26" t="s">
        <v>50</v>
      </c>
      <c r="F11" s="26" t="s">
        <v>50</v>
      </c>
      <c r="G11" s="26" t="s">
        <v>202</v>
      </c>
    </row>
    <row r="12" spans="1:9" x14ac:dyDescent="0.2">
      <c r="C12" s="3">
        <v>9</v>
      </c>
      <c r="D12" s="37" t="str">
        <f t="shared" si="0"/>
        <v>Kennzahlen</v>
      </c>
      <c r="E12" s="26" t="s">
        <v>1</v>
      </c>
      <c r="F12" s="26" t="s">
        <v>377</v>
      </c>
      <c r="G12" s="26" t="s">
        <v>203</v>
      </c>
    </row>
    <row r="13" spans="1:9" x14ac:dyDescent="0.2">
      <c r="C13" s="3">
        <v>10</v>
      </c>
      <c r="D13" s="37" t="str">
        <f t="shared" si="0"/>
        <v>Gebäude</v>
      </c>
      <c r="E13" s="26" t="s">
        <v>51</v>
      </c>
      <c r="F13" s="26" t="s">
        <v>378</v>
      </c>
      <c r="G13" s="26" t="s">
        <v>204</v>
      </c>
    </row>
    <row r="14" spans="1:9" x14ac:dyDescent="0.2">
      <c r="C14" s="3">
        <v>11</v>
      </c>
      <c r="D14" s="37" t="str">
        <f t="shared" si="0"/>
        <v>Angaben zu den Gebäuden</v>
      </c>
      <c r="E14" s="26" t="s">
        <v>79</v>
      </c>
      <c r="F14" s="26" t="s">
        <v>379</v>
      </c>
      <c r="G14" s="26" t="s">
        <v>205</v>
      </c>
    </row>
    <row r="15" spans="1:9" x14ac:dyDescent="0.2">
      <c r="C15" s="3">
        <v>12</v>
      </c>
      <c r="D15" s="37" t="str">
        <f t="shared" si="0"/>
        <v>Gebäudebezeichnung</v>
      </c>
      <c r="E15" s="26" t="s">
        <v>2</v>
      </c>
      <c r="F15" s="26" t="s">
        <v>380</v>
      </c>
      <c r="G15" s="26" t="s">
        <v>206</v>
      </c>
    </row>
    <row r="16" spans="1:9" x14ac:dyDescent="0.2">
      <c r="C16" s="3">
        <v>13</v>
      </c>
      <c r="D16" s="37" t="str">
        <f t="shared" si="0"/>
        <v>Gebäudekategorie</v>
      </c>
      <c r="E16" s="26" t="s">
        <v>121</v>
      </c>
      <c r="F16" s="26" t="s">
        <v>381</v>
      </c>
      <c r="G16" s="26" t="s">
        <v>207</v>
      </c>
    </row>
    <row r="17" spans="3:7" x14ac:dyDescent="0.2">
      <c r="C17" s="3">
        <v>14</v>
      </c>
      <c r="D17" s="37" t="str">
        <f t="shared" si="0"/>
        <v>Energiebezugsfläche EBF</v>
      </c>
      <c r="E17" s="26" t="s">
        <v>75</v>
      </c>
      <c r="F17" s="26" t="s">
        <v>382</v>
      </c>
      <c r="G17" s="26" t="s">
        <v>208</v>
      </c>
    </row>
    <row r="18" spans="3:7" x14ac:dyDescent="0.2">
      <c r="C18" s="3">
        <v>15</v>
      </c>
      <c r="D18" s="37" t="str">
        <f t="shared" si="0"/>
        <v>Art des Bauvorhabens</v>
      </c>
      <c r="E18" s="26" t="s">
        <v>6</v>
      </c>
      <c r="F18" s="26" t="s">
        <v>383</v>
      </c>
      <c r="G18" s="26" t="s">
        <v>209</v>
      </c>
    </row>
    <row r="19" spans="3:7" x14ac:dyDescent="0.2">
      <c r="C19" s="3">
        <v>16</v>
      </c>
      <c r="D19" s="37" t="str">
        <f t="shared" si="0"/>
        <v>Minergie-Standard</v>
      </c>
      <c r="E19" s="26" t="s">
        <v>81</v>
      </c>
      <c r="F19" s="26" t="s">
        <v>210</v>
      </c>
      <c r="G19" s="26" t="s">
        <v>210</v>
      </c>
    </row>
    <row r="20" spans="3:7" x14ac:dyDescent="0.2">
      <c r="C20" s="3">
        <v>17</v>
      </c>
      <c r="D20" s="37" t="str">
        <f t="shared" si="0"/>
        <v>Begründung für Ausnahmeregelung</v>
      </c>
      <c r="E20" s="26" t="s">
        <v>59</v>
      </c>
      <c r="F20" s="26" t="s">
        <v>384</v>
      </c>
      <c r="G20" s="26" t="s">
        <v>211</v>
      </c>
    </row>
    <row r="21" spans="3:7" x14ac:dyDescent="0.2">
      <c r="C21" s="3">
        <v>18</v>
      </c>
      <c r="D21" s="37" t="str">
        <f t="shared" si="0"/>
        <v>EBF des rückgebauten Gebäudes</v>
      </c>
      <c r="E21" s="26" t="s">
        <v>62</v>
      </c>
      <c r="F21" s="26" t="s">
        <v>385</v>
      </c>
      <c r="G21" s="26" t="s">
        <v>212</v>
      </c>
    </row>
    <row r="22" spans="3:7" x14ac:dyDescent="0.2">
      <c r="C22" s="3">
        <v>19</v>
      </c>
      <c r="D22" s="37" t="str">
        <f t="shared" si="0"/>
        <v>Alter des rückgebauten Gebäudes</v>
      </c>
      <c r="E22" s="26" t="s">
        <v>61</v>
      </c>
      <c r="F22" s="26" t="s">
        <v>386</v>
      </c>
      <c r="G22" s="26" t="s">
        <v>213</v>
      </c>
    </row>
    <row r="23" spans="3:7" ht="24" x14ac:dyDescent="0.2">
      <c r="C23" s="3">
        <v>20</v>
      </c>
      <c r="D23" s="37" t="str">
        <f t="shared" si="0"/>
        <v>Kompensation von Kennzahlen bei Neubauten und Erneuerungen nach Minergie</v>
      </c>
      <c r="E23" s="26" t="s">
        <v>151</v>
      </c>
      <c r="F23" s="26" t="s">
        <v>387</v>
      </c>
      <c r="G23" s="26" t="s">
        <v>540</v>
      </c>
    </row>
    <row r="24" spans="3:7" x14ac:dyDescent="0.2">
      <c r="C24" s="3">
        <v>21</v>
      </c>
      <c r="D24" s="37" t="str">
        <f t="shared" si="0"/>
        <v>Minergie-Kennzahl (MKZ)</v>
      </c>
      <c r="E24" s="26" t="s">
        <v>41</v>
      </c>
      <c r="F24" s="26" t="s">
        <v>388</v>
      </c>
      <c r="G24" s="26" t="s">
        <v>214</v>
      </c>
    </row>
    <row r="25" spans="3:7" x14ac:dyDescent="0.2">
      <c r="C25" s="3">
        <v>22</v>
      </c>
      <c r="D25" s="37" t="str">
        <f t="shared" si="0"/>
        <v>Heizwärmebedarf (Qh)</v>
      </c>
      <c r="E25" s="26" t="s">
        <v>53</v>
      </c>
      <c r="F25" s="26" t="s">
        <v>389</v>
      </c>
      <c r="G25" s="26" t="s">
        <v>215</v>
      </c>
    </row>
    <row r="26" spans="3:7" x14ac:dyDescent="0.2">
      <c r="C26" s="3">
        <v>23</v>
      </c>
      <c r="D26" s="37" t="str">
        <f t="shared" si="0"/>
        <v>THGE Erstellung</v>
      </c>
      <c r="E26" s="26" t="s">
        <v>54</v>
      </c>
      <c r="F26" s="26" t="s">
        <v>570</v>
      </c>
      <c r="G26" s="26" t="s">
        <v>541</v>
      </c>
    </row>
    <row r="27" spans="3:7" x14ac:dyDescent="0.2">
      <c r="C27" s="3">
        <v>24</v>
      </c>
      <c r="D27" s="37" t="str">
        <f t="shared" si="0"/>
        <v>Eigenstromerzeugung</v>
      </c>
      <c r="E27" s="26" t="s">
        <v>40</v>
      </c>
      <c r="F27" s="26" t="s">
        <v>390</v>
      </c>
      <c r="G27" s="26" t="s">
        <v>216</v>
      </c>
    </row>
    <row r="28" spans="3:7" x14ac:dyDescent="0.2">
      <c r="C28" s="3">
        <v>25</v>
      </c>
      <c r="D28" s="37" t="str">
        <f t="shared" si="0"/>
        <v>Standard</v>
      </c>
      <c r="E28" s="26" t="s">
        <v>15</v>
      </c>
      <c r="F28" s="26" t="s">
        <v>15</v>
      </c>
      <c r="G28" s="26" t="s">
        <v>15</v>
      </c>
    </row>
    <row r="29" spans="3:7" x14ac:dyDescent="0.2">
      <c r="C29" s="3">
        <v>26</v>
      </c>
      <c r="D29" s="37" t="str">
        <f t="shared" si="0"/>
        <v>Minergie-P(-ECO)-Gebäude</v>
      </c>
      <c r="E29" s="26" t="s">
        <v>73</v>
      </c>
      <c r="F29" s="26" t="s">
        <v>391</v>
      </c>
      <c r="G29" s="26" t="s">
        <v>217</v>
      </c>
    </row>
    <row r="30" spans="3:7" x14ac:dyDescent="0.2">
      <c r="C30" s="3">
        <v>27</v>
      </c>
      <c r="D30" s="37" t="str">
        <f t="shared" si="0"/>
        <v>Fläche</v>
      </c>
      <c r="E30" s="26" t="s">
        <v>58</v>
      </c>
      <c r="F30" s="26" t="s">
        <v>392</v>
      </c>
      <c r="G30" s="26" t="s">
        <v>218</v>
      </c>
    </row>
    <row r="31" spans="3:7" x14ac:dyDescent="0.2">
      <c r="C31" s="3">
        <v>28</v>
      </c>
      <c r="D31" s="37" t="str">
        <f t="shared" si="0"/>
        <v>Minergie-A(-ECO)-Gebäude</v>
      </c>
      <c r="E31" s="26" t="s">
        <v>74</v>
      </c>
      <c r="F31" s="26" t="s">
        <v>393</v>
      </c>
      <c r="G31" s="26" t="s">
        <v>219</v>
      </c>
    </row>
    <row r="32" spans="3:7" x14ac:dyDescent="0.2">
      <c r="C32" s="3">
        <v>29</v>
      </c>
      <c r="D32" s="37" t="str">
        <f t="shared" si="0"/>
        <v>Bestandesbauten mit Ausnahmeregelung</v>
      </c>
      <c r="E32" s="26" t="s">
        <v>57</v>
      </c>
      <c r="F32" s="26" t="s">
        <v>394</v>
      </c>
      <c r="G32" s="26" t="s">
        <v>220</v>
      </c>
    </row>
    <row r="33" spans="3:7" x14ac:dyDescent="0.2">
      <c r="C33" s="3">
        <v>30</v>
      </c>
      <c r="D33" s="37" t="str">
        <f t="shared" si="0"/>
        <v>Dachfläche</v>
      </c>
      <c r="E33" s="26" t="s">
        <v>11</v>
      </c>
      <c r="F33" s="26" t="s">
        <v>395</v>
      </c>
      <c r="G33" s="26" t="s">
        <v>221</v>
      </c>
    </row>
    <row r="34" spans="3:7" x14ac:dyDescent="0.2">
      <c r="C34" s="3">
        <v>31</v>
      </c>
      <c r="D34" s="37" t="str">
        <f t="shared" si="0"/>
        <v>Belegung mit PV-Anlage</v>
      </c>
      <c r="E34" s="26" t="s">
        <v>56</v>
      </c>
      <c r="F34" s="26" t="s">
        <v>396</v>
      </c>
      <c r="G34" s="26" t="s">
        <v>222</v>
      </c>
    </row>
    <row r="35" spans="3:7" x14ac:dyDescent="0.2">
      <c r="C35" s="3">
        <v>32</v>
      </c>
      <c r="D35" s="37" t="str">
        <f t="shared" si="0"/>
        <v>Abschlag Rückbau</v>
      </c>
      <c r="E35" s="26" t="s">
        <v>137</v>
      </c>
      <c r="F35" s="26" t="s">
        <v>397</v>
      </c>
      <c r="G35" s="26" t="s">
        <v>223</v>
      </c>
    </row>
    <row r="36" spans="3:7" x14ac:dyDescent="0.2">
      <c r="C36" s="3">
        <v>33</v>
      </c>
      <c r="D36" s="37" t="str">
        <f t="shared" ref="D36:D67" si="1">INDEX($E$4:$G$503,$C36,$A$1)</f>
        <v>Installierte Leistung</v>
      </c>
      <c r="E36" s="26" t="s">
        <v>168</v>
      </c>
      <c r="F36" s="26" t="s">
        <v>398</v>
      </c>
      <c r="G36" s="26" t="s">
        <v>224</v>
      </c>
    </row>
    <row r="37" spans="3:7" x14ac:dyDescent="0.2">
      <c r="C37" s="3">
        <v>34</v>
      </c>
      <c r="D37" s="37" t="str">
        <f t="shared" si="1"/>
        <v>Energiebezugsflächen des Areals</v>
      </c>
      <c r="E37" s="26" t="s">
        <v>191</v>
      </c>
      <c r="F37" s="26" t="s">
        <v>399</v>
      </c>
      <c r="G37" s="26" t="s">
        <v>225</v>
      </c>
    </row>
    <row r="38" spans="3:7" x14ac:dyDescent="0.2">
      <c r="C38" s="3">
        <v>35</v>
      </c>
      <c r="D38" s="37" t="str">
        <f t="shared" si="1"/>
        <v>Summe</v>
      </c>
      <c r="E38" s="26" t="s">
        <v>5</v>
      </c>
      <c r="F38" s="26" t="s">
        <v>400</v>
      </c>
      <c r="G38" s="26" t="s">
        <v>226</v>
      </c>
    </row>
    <row r="39" spans="3:7" x14ac:dyDescent="0.2">
      <c r="C39" s="3">
        <v>36</v>
      </c>
      <c r="D39" s="37" t="str">
        <f t="shared" si="1"/>
        <v>Flächengewichter Durchschnitt</v>
      </c>
      <c r="E39" s="26" t="s">
        <v>9</v>
      </c>
      <c r="F39" s="26" t="s">
        <v>401</v>
      </c>
      <c r="G39" s="26" t="s">
        <v>227</v>
      </c>
    </row>
    <row r="40" spans="3:7" x14ac:dyDescent="0.2">
      <c r="C40" s="3">
        <v>37</v>
      </c>
      <c r="D40" s="37" t="str">
        <f t="shared" si="1"/>
        <v>Anforderung</v>
      </c>
      <c r="E40" s="26" t="s">
        <v>13</v>
      </c>
      <c r="F40" s="26" t="s">
        <v>402</v>
      </c>
      <c r="G40" s="26" t="s">
        <v>228</v>
      </c>
    </row>
    <row r="41" spans="3:7" x14ac:dyDescent="0.2">
      <c r="C41" s="3">
        <v>38</v>
      </c>
      <c r="D41" s="37" t="str">
        <f t="shared" si="1"/>
        <v>Projektwert</v>
      </c>
      <c r="E41" s="26" t="s">
        <v>38</v>
      </c>
      <c r="F41" s="26" t="s">
        <v>403</v>
      </c>
      <c r="G41" s="26" t="s">
        <v>229</v>
      </c>
    </row>
    <row r="42" spans="3:7" ht="24" x14ac:dyDescent="0.2">
      <c r="C42" s="3">
        <v>39</v>
      </c>
      <c r="D42" s="37" t="str">
        <f t="shared" si="1"/>
        <v>Treibhausgasemissionen Erstellung aller Neubauten im Areal</v>
      </c>
      <c r="E42" s="26" t="s">
        <v>174</v>
      </c>
      <c r="F42" s="26" t="s">
        <v>571</v>
      </c>
      <c r="G42" s="26" t="s">
        <v>230</v>
      </c>
    </row>
    <row r="43" spans="3:7" x14ac:dyDescent="0.2">
      <c r="C43" s="3">
        <v>40</v>
      </c>
      <c r="D43" s="37" t="str">
        <f t="shared" si="1"/>
        <v>Areal</v>
      </c>
      <c r="E43" s="26" t="s">
        <v>55</v>
      </c>
      <c r="F43" s="26" t="s">
        <v>404</v>
      </c>
      <c r="G43" s="26" t="s">
        <v>231</v>
      </c>
    </row>
    <row r="44" spans="3:7" x14ac:dyDescent="0.2">
      <c r="C44" s="3">
        <v>41</v>
      </c>
      <c r="D44" s="37" t="str">
        <f t="shared" si="1"/>
        <v>Wohnen MFH</v>
      </c>
      <c r="E44" s="26" t="s">
        <v>3</v>
      </c>
      <c r="F44" s="26" t="s">
        <v>405</v>
      </c>
      <c r="G44" s="26" t="s">
        <v>232</v>
      </c>
    </row>
    <row r="45" spans="3:7" x14ac:dyDescent="0.2">
      <c r="C45" s="3">
        <v>42</v>
      </c>
      <c r="D45" s="37" t="str">
        <f t="shared" si="1"/>
        <v>Wohnen EFH</v>
      </c>
      <c r="E45" s="26" t="s">
        <v>17</v>
      </c>
      <c r="F45" s="26" t="s">
        <v>406</v>
      </c>
      <c r="G45" s="26" t="s">
        <v>233</v>
      </c>
    </row>
    <row r="46" spans="3:7" x14ac:dyDescent="0.2">
      <c r="C46" s="3">
        <v>43</v>
      </c>
      <c r="D46" s="37" t="str">
        <f t="shared" si="1"/>
        <v>Verwaltung</v>
      </c>
      <c r="E46" s="26" t="s">
        <v>18</v>
      </c>
      <c r="F46" s="26" t="s">
        <v>407</v>
      </c>
      <c r="G46" s="26" t="s">
        <v>234</v>
      </c>
    </row>
    <row r="47" spans="3:7" x14ac:dyDescent="0.2">
      <c r="C47" s="3">
        <v>44</v>
      </c>
      <c r="D47" s="37" t="str">
        <f t="shared" si="1"/>
        <v xml:space="preserve">Schulen </v>
      </c>
      <c r="E47" s="26" t="s">
        <v>20</v>
      </c>
      <c r="F47" s="26" t="s">
        <v>408</v>
      </c>
      <c r="G47" s="26" t="s">
        <v>235</v>
      </c>
    </row>
    <row r="48" spans="3:7" x14ac:dyDescent="0.2">
      <c r="C48" s="3">
        <v>45</v>
      </c>
      <c r="D48" s="37" t="str">
        <f t="shared" si="1"/>
        <v>Verkauf</v>
      </c>
      <c r="E48" s="26" t="s">
        <v>22</v>
      </c>
      <c r="F48" s="26" t="s">
        <v>409</v>
      </c>
      <c r="G48" s="26" t="s">
        <v>236</v>
      </c>
    </row>
    <row r="49" spans="3:7" x14ac:dyDescent="0.2">
      <c r="C49" s="3">
        <v>46</v>
      </c>
      <c r="D49" s="37" t="str">
        <f t="shared" si="1"/>
        <v>Restaurant</v>
      </c>
      <c r="E49" s="26" t="s">
        <v>24</v>
      </c>
      <c r="F49" s="26" t="s">
        <v>410</v>
      </c>
      <c r="G49" s="26" t="s">
        <v>237</v>
      </c>
    </row>
    <row r="50" spans="3:7" x14ac:dyDescent="0.2">
      <c r="C50" s="3">
        <v>47</v>
      </c>
      <c r="D50" s="37" t="str">
        <f t="shared" si="1"/>
        <v>Versammlung</v>
      </c>
      <c r="E50" s="26" t="s">
        <v>26</v>
      </c>
      <c r="F50" s="26" t="s">
        <v>411</v>
      </c>
      <c r="G50" s="26" t="s">
        <v>238</v>
      </c>
    </row>
    <row r="51" spans="3:7" x14ac:dyDescent="0.2">
      <c r="C51" s="3">
        <v>48</v>
      </c>
      <c r="D51" s="37" t="str">
        <f t="shared" si="1"/>
        <v>Spitäler</v>
      </c>
      <c r="E51" s="26" t="s">
        <v>27</v>
      </c>
      <c r="F51" s="26" t="s">
        <v>412</v>
      </c>
      <c r="G51" s="26" t="s">
        <v>239</v>
      </c>
    </row>
    <row r="52" spans="3:7" x14ac:dyDescent="0.2">
      <c r="C52" s="3">
        <v>49</v>
      </c>
      <c r="D52" s="37" t="str">
        <f t="shared" si="1"/>
        <v>Industrie</v>
      </c>
      <c r="E52" s="26" t="s">
        <v>28</v>
      </c>
      <c r="F52" s="26" t="s">
        <v>28</v>
      </c>
      <c r="G52" s="26" t="s">
        <v>28</v>
      </c>
    </row>
    <row r="53" spans="3:7" x14ac:dyDescent="0.2">
      <c r="C53" s="3">
        <v>50</v>
      </c>
      <c r="D53" s="37" t="str">
        <f t="shared" si="1"/>
        <v>Lager</v>
      </c>
      <c r="E53" s="26" t="s">
        <v>29</v>
      </c>
      <c r="F53" s="26" t="s">
        <v>413</v>
      </c>
      <c r="G53" s="26" t="s">
        <v>240</v>
      </c>
    </row>
    <row r="54" spans="3:7" x14ac:dyDescent="0.2">
      <c r="C54" s="3">
        <v>51</v>
      </c>
      <c r="D54" s="37" t="str">
        <f t="shared" si="1"/>
        <v>Sportbauten</v>
      </c>
      <c r="E54" s="26" t="s">
        <v>30</v>
      </c>
      <c r="F54" s="26" t="s">
        <v>414</v>
      </c>
      <c r="G54" s="26" t="s">
        <v>241</v>
      </c>
    </row>
    <row r="55" spans="3:7" x14ac:dyDescent="0.2">
      <c r="C55" s="3">
        <v>52</v>
      </c>
      <c r="D55" s="37" t="str">
        <f t="shared" si="1"/>
        <v>Hallenbäder</v>
      </c>
      <c r="E55" s="26" t="s">
        <v>31</v>
      </c>
      <c r="F55" s="26" t="s">
        <v>415</v>
      </c>
      <c r="G55" s="26" t="s">
        <v>242</v>
      </c>
    </row>
    <row r="56" spans="3:7" x14ac:dyDescent="0.2">
      <c r="C56" s="3">
        <v>53</v>
      </c>
      <c r="D56" s="37" t="str">
        <f t="shared" si="1"/>
        <v>Zone</v>
      </c>
      <c r="E56" s="26" t="s">
        <v>122</v>
      </c>
      <c r="F56" s="26" t="s">
        <v>122</v>
      </c>
      <c r="G56" s="26" t="s">
        <v>243</v>
      </c>
    </row>
    <row r="57" spans="3:7" x14ac:dyDescent="0.2">
      <c r="C57" s="3">
        <v>54</v>
      </c>
      <c r="D57" s="37" t="str">
        <f t="shared" si="1"/>
        <v>Minergie</v>
      </c>
      <c r="E57" s="26" t="s">
        <v>16</v>
      </c>
      <c r="F57" s="26" t="s">
        <v>16</v>
      </c>
      <c r="G57" s="26" t="s">
        <v>16</v>
      </c>
    </row>
    <row r="58" spans="3:7" x14ac:dyDescent="0.2">
      <c r="C58" s="3">
        <v>55</v>
      </c>
      <c r="D58" s="37" t="str">
        <f t="shared" si="1"/>
        <v>Minergie-A</v>
      </c>
      <c r="E58" s="26" t="s">
        <v>7</v>
      </c>
      <c r="F58" s="26" t="s">
        <v>7</v>
      </c>
      <c r="G58" s="26" t="s">
        <v>7</v>
      </c>
    </row>
    <row r="59" spans="3:7" x14ac:dyDescent="0.2">
      <c r="C59" s="3">
        <v>56</v>
      </c>
      <c r="D59" s="37" t="str">
        <f t="shared" si="1"/>
        <v>Minergie-P</v>
      </c>
      <c r="E59" s="26" t="s">
        <v>19</v>
      </c>
      <c r="F59" s="26" t="s">
        <v>19</v>
      </c>
      <c r="G59" s="26" t="s">
        <v>19</v>
      </c>
    </row>
    <row r="60" spans="3:7" x14ac:dyDescent="0.2">
      <c r="C60" s="3">
        <v>57</v>
      </c>
      <c r="D60" s="37" t="str">
        <f t="shared" si="1"/>
        <v>Minergie-ECO</v>
      </c>
      <c r="E60" s="26" t="s">
        <v>21</v>
      </c>
      <c r="F60" s="26" t="s">
        <v>21</v>
      </c>
      <c r="G60" s="26" t="s">
        <v>21</v>
      </c>
    </row>
    <row r="61" spans="3:7" x14ac:dyDescent="0.2">
      <c r="C61" s="3">
        <v>58</v>
      </c>
      <c r="D61" s="37" t="str">
        <f t="shared" si="1"/>
        <v>Minergie-A-ECO</v>
      </c>
      <c r="E61" s="26" t="s">
        <v>23</v>
      </c>
      <c r="F61" s="26" t="s">
        <v>23</v>
      </c>
      <c r="G61" s="26" t="s">
        <v>23</v>
      </c>
    </row>
    <row r="62" spans="3:7" x14ac:dyDescent="0.2">
      <c r="C62" s="3">
        <v>59</v>
      </c>
      <c r="D62" s="37" t="str">
        <f t="shared" si="1"/>
        <v>Minergie-P-ECO</v>
      </c>
      <c r="E62" s="26" t="s">
        <v>25</v>
      </c>
      <c r="F62" s="26" t="s">
        <v>25</v>
      </c>
      <c r="G62" s="26" t="s">
        <v>25</v>
      </c>
    </row>
    <row r="63" spans="3:7" x14ac:dyDescent="0.2">
      <c r="C63" s="3">
        <v>60</v>
      </c>
      <c r="D63" s="37" t="str">
        <f t="shared" si="1"/>
        <v>Noch offen</v>
      </c>
      <c r="E63" s="26" t="s">
        <v>34</v>
      </c>
      <c r="F63" s="26" t="s">
        <v>416</v>
      </c>
      <c r="G63" s="26" t="s">
        <v>244</v>
      </c>
    </row>
    <row r="64" spans="3:7" x14ac:dyDescent="0.2">
      <c r="C64" s="3">
        <v>61</v>
      </c>
      <c r="D64" s="37" t="str">
        <f t="shared" si="1"/>
        <v>Neubau / Erneuerung nach Minergie</v>
      </c>
      <c r="E64" s="26" t="s">
        <v>139</v>
      </c>
      <c r="F64" s="26" t="s">
        <v>417</v>
      </c>
      <c r="G64" s="26" t="s">
        <v>542</v>
      </c>
    </row>
    <row r="65" spans="3:7" x14ac:dyDescent="0.2">
      <c r="C65" s="3">
        <v>62</v>
      </c>
      <c r="D65" s="37" t="str">
        <f t="shared" si="1"/>
        <v>Ersatzneubau</v>
      </c>
      <c r="E65" s="26" t="s">
        <v>140</v>
      </c>
      <c r="F65" s="26" t="s">
        <v>418</v>
      </c>
      <c r="G65" s="26" t="s">
        <v>245</v>
      </c>
    </row>
    <row r="66" spans="3:7" x14ac:dyDescent="0.2">
      <c r="C66" s="3">
        <v>63</v>
      </c>
      <c r="D66" s="37" t="str">
        <f t="shared" si="1"/>
        <v>berücksichtigen</v>
      </c>
      <c r="E66" s="26" t="s">
        <v>146</v>
      </c>
      <c r="F66" s="26" t="s">
        <v>419</v>
      </c>
      <c r="G66" s="26" t="s">
        <v>246</v>
      </c>
    </row>
    <row r="67" spans="3:7" x14ac:dyDescent="0.2">
      <c r="C67" s="3">
        <v>64</v>
      </c>
      <c r="D67" s="37" t="str">
        <f t="shared" si="1"/>
        <v>Bestandesbau mit Ausnahmeregelung</v>
      </c>
      <c r="E67" s="26" t="s">
        <v>144</v>
      </c>
      <c r="F67" s="26" t="s">
        <v>420</v>
      </c>
      <c r="G67" s="26" t="s">
        <v>220</v>
      </c>
    </row>
    <row r="68" spans="3:7" x14ac:dyDescent="0.2">
      <c r="C68" s="3">
        <v>65</v>
      </c>
      <c r="D68" s="37" t="str">
        <f t="shared" ref="D68:D99" si="2">INDEX($E$4:$G$503,$C68,$A$1)</f>
        <v>Schutzinventar</v>
      </c>
      <c r="E68" s="26" t="s">
        <v>33</v>
      </c>
      <c r="F68" s="26" t="s">
        <v>421</v>
      </c>
      <c r="G68" s="26" t="s">
        <v>247</v>
      </c>
    </row>
    <row r="69" spans="3:7" x14ac:dyDescent="0.2">
      <c r="C69" s="3">
        <v>66</v>
      </c>
      <c r="D69" s="37" t="str">
        <f t="shared" si="2"/>
        <v>Bestehendes Minergie-Zertifikat</v>
      </c>
      <c r="E69" s="26" t="s">
        <v>35</v>
      </c>
      <c r="F69" s="26" t="s">
        <v>422</v>
      </c>
      <c r="G69" s="26" t="s">
        <v>248</v>
      </c>
    </row>
    <row r="70" spans="3:7" x14ac:dyDescent="0.2">
      <c r="C70" s="3">
        <v>67</v>
      </c>
      <c r="D70" s="37" t="str">
        <f t="shared" si="2"/>
        <v>GEAK A/B/C oder SNBS Zertifikat</v>
      </c>
      <c r="E70" s="26" t="s">
        <v>80</v>
      </c>
      <c r="F70" s="26" t="s">
        <v>423</v>
      </c>
      <c r="G70" s="26" t="s">
        <v>249</v>
      </c>
    </row>
    <row r="71" spans="3:7" x14ac:dyDescent="0.2">
      <c r="C71" s="3">
        <v>68</v>
      </c>
      <c r="D71" s="37" t="str">
        <f t="shared" si="2"/>
        <v>Weitere</v>
      </c>
      <c r="E71" s="26" t="s">
        <v>32</v>
      </c>
      <c r="F71" s="26" t="s">
        <v>424</v>
      </c>
      <c r="G71" s="26" t="s">
        <v>250</v>
      </c>
    </row>
    <row r="72" spans="3:7" x14ac:dyDescent="0.2">
      <c r="C72" s="3">
        <v>69</v>
      </c>
      <c r="D72" s="37" t="str">
        <f t="shared" si="2"/>
        <v>Übersicht</v>
      </c>
      <c r="E72" s="26" t="s">
        <v>12</v>
      </c>
      <c r="F72" s="26" t="s">
        <v>425</v>
      </c>
      <c r="G72" s="26" t="s">
        <v>251</v>
      </c>
    </row>
    <row r="73" spans="3:7" x14ac:dyDescent="0.2">
      <c r="C73" s="3">
        <v>70</v>
      </c>
      <c r="D73" s="37" t="str">
        <f t="shared" si="2"/>
        <v>Erfüllt?</v>
      </c>
      <c r="E73" s="26" t="s">
        <v>14</v>
      </c>
      <c r="F73" s="26" t="s">
        <v>426</v>
      </c>
      <c r="G73" s="26" t="s">
        <v>252</v>
      </c>
    </row>
    <row r="74" spans="3:7" x14ac:dyDescent="0.2">
      <c r="C74" s="3">
        <v>71</v>
      </c>
      <c r="D74" s="37" t="str">
        <f t="shared" si="2"/>
        <v>Angaben zu rückgebauten Gebäuden</v>
      </c>
      <c r="E74" s="26" t="s">
        <v>143</v>
      </c>
      <c r="F74" s="26" t="s">
        <v>427</v>
      </c>
      <c r="G74" s="26" t="s">
        <v>253</v>
      </c>
    </row>
    <row r="75" spans="3:7" x14ac:dyDescent="0.2">
      <c r="C75" s="3">
        <v>72</v>
      </c>
      <c r="D75" s="37" t="str">
        <f t="shared" si="2"/>
        <v>THGE in Erstellung des rückgebauten Gebäudes</v>
      </c>
      <c r="E75" s="26" t="s">
        <v>63</v>
      </c>
      <c r="F75" s="26" t="s">
        <v>572</v>
      </c>
      <c r="G75" s="26" t="s">
        <v>254</v>
      </c>
    </row>
    <row r="76" spans="3:7" x14ac:dyDescent="0.2">
      <c r="C76" s="3">
        <v>73</v>
      </c>
      <c r="D76" s="37" t="str">
        <f t="shared" si="2"/>
        <v>Wärmeerzeugung</v>
      </c>
      <c r="E76" s="26" t="s">
        <v>160</v>
      </c>
      <c r="F76" s="26" t="s">
        <v>428</v>
      </c>
      <c r="G76" s="26" t="s">
        <v>305</v>
      </c>
    </row>
    <row r="77" spans="3:7" x14ac:dyDescent="0.2">
      <c r="C77" s="3">
        <v>74</v>
      </c>
      <c r="D77" s="37" t="str">
        <f t="shared" si="2"/>
        <v>Ab- / Zuluft-WP</v>
      </c>
      <c r="E77" s="26" t="s">
        <v>96</v>
      </c>
      <c r="F77" s="26" t="s">
        <v>429</v>
      </c>
      <c r="G77" s="26" t="s">
        <v>255</v>
      </c>
    </row>
    <row r="78" spans="3:7" ht="24" x14ac:dyDescent="0.2">
      <c r="C78" s="3">
        <v>75</v>
      </c>
      <c r="D78" s="37" t="str">
        <f t="shared" si="2"/>
        <v>Abwärme aus Gewerbe-/Klimakälte</v>
      </c>
      <c r="E78" s="26" t="s">
        <v>97</v>
      </c>
      <c r="F78" s="26" t="s">
        <v>573</v>
      </c>
      <c r="G78" s="26" t="s">
        <v>256</v>
      </c>
    </row>
    <row r="79" spans="3:7" x14ac:dyDescent="0.2">
      <c r="C79" s="3">
        <v>76</v>
      </c>
      <c r="D79" s="37" t="str">
        <f t="shared" si="2"/>
        <v>Abwasser-WP</v>
      </c>
      <c r="E79" s="26" t="s">
        <v>98</v>
      </c>
      <c r="F79" s="26" t="s">
        <v>430</v>
      </c>
      <c r="G79" s="26" t="s">
        <v>257</v>
      </c>
    </row>
    <row r="80" spans="3:7" x14ac:dyDescent="0.2">
      <c r="C80" s="3">
        <v>77</v>
      </c>
      <c r="D80" s="37" t="str">
        <f t="shared" si="2"/>
        <v>Elektro-Wassererwärmer</v>
      </c>
      <c r="E80" s="26" t="s">
        <v>66</v>
      </c>
      <c r="F80" s="26" t="s">
        <v>431</v>
      </c>
      <c r="G80" s="26" t="s">
        <v>258</v>
      </c>
    </row>
    <row r="81" spans="3:7" x14ac:dyDescent="0.2">
      <c r="C81" s="3">
        <v>78</v>
      </c>
      <c r="D81" s="37" t="str">
        <f t="shared" si="2"/>
        <v>Erdregister-WP</v>
      </c>
      <c r="E81" s="26" t="s">
        <v>99</v>
      </c>
      <c r="F81" s="26" t="s">
        <v>432</v>
      </c>
      <c r="G81" s="26" t="s">
        <v>259</v>
      </c>
    </row>
    <row r="82" spans="3:7" x14ac:dyDescent="0.2">
      <c r="C82" s="3">
        <v>79</v>
      </c>
      <c r="D82" s="37" t="str">
        <f t="shared" si="2"/>
        <v>Erdsonden-WP</v>
      </c>
      <c r="E82" s="26" t="s">
        <v>100</v>
      </c>
      <c r="F82" s="26" t="s">
        <v>433</v>
      </c>
      <c r="G82" s="26" t="s">
        <v>260</v>
      </c>
    </row>
    <row r="83" spans="3:7" x14ac:dyDescent="0.2">
      <c r="C83" s="3">
        <v>80</v>
      </c>
      <c r="D83" s="37" t="str">
        <f t="shared" si="2"/>
        <v>Fernwärme (&lt;=25% nicht erneuerbar)</v>
      </c>
      <c r="E83" s="26" t="s">
        <v>71</v>
      </c>
      <c r="F83" s="26" t="s">
        <v>434</v>
      </c>
      <c r="G83" s="26" t="s">
        <v>261</v>
      </c>
    </row>
    <row r="84" spans="3:7" x14ac:dyDescent="0.2">
      <c r="C84" s="3">
        <v>81</v>
      </c>
      <c r="D84" s="37" t="str">
        <f t="shared" si="2"/>
        <v>Fernwärme (&lt;=50% nicht erneuerbar)</v>
      </c>
      <c r="E84" s="26" t="s">
        <v>68</v>
      </c>
      <c r="F84" s="26" t="s">
        <v>435</v>
      </c>
      <c r="G84" s="26" t="s">
        <v>262</v>
      </c>
    </row>
    <row r="85" spans="3:7" x14ac:dyDescent="0.2">
      <c r="C85" s="3">
        <v>82</v>
      </c>
      <c r="D85" s="37" t="str">
        <f t="shared" si="2"/>
        <v>Fernwärme (&lt;=75% nicht erneuerbar)</v>
      </c>
      <c r="E85" s="26" t="s">
        <v>70</v>
      </c>
      <c r="F85" s="26" t="s">
        <v>436</v>
      </c>
      <c r="G85" s="26" t="s">
        <v>263</v>
      </c>
    </row>
    <row r="86" spans="3:7" x14ac:dyDescent="0.2">
      <c r="C86" s="3">
        <v>83</v>
      </c>
      <c r="D86" s="37" t="str">
        <f t="shared" si="2"/>
        <v>Fernwärme (&gt;75% nicht erneuerbar)</v>
      </c>
      <c r="E86" s="26" t="s">
        <v>69</v>
      </c>
      <c r="F86" s="26" t="s">
        <v>437</v>
      </c>
      <c r="G86" s="26" t="s">
        <v>264</v>
      </c>
    </row>
    <row r="87" spans="3:7" x14ac:dyDescent="0.2">
      <c r="C87" s="3">
        <v>84</v>
      </c>
      <c r="D87" s="37" t="str">
        <f t="shared" si="2"/>
        <v>Gasfeuerung / Gas-Wassererwärmer</v>
      </c>
      <c r="E87" s="26" t="s">
        <v>101</v>
      </c>
      <c r="F87" s="26" t="s">
        <v>438</v>
      </c>
      <c r="G87" s="26" t="s">
        <v>265</v>
      </c>
    </row>
    <row r="88" spans="3:7" x14ac:dyDescent="0.2">
      <c r="C88" s="3">
        <v>85</v>
      </c>
      <c r="D88" s="37" t="str">
        <f t="shared" si="2"/>
        <v>Gaswärmepumpe</v>
      </c>
      <c r="E88" s="26" t="s">
        <v>102</v>
      </c>
      <c r="F88" s="26" t="s">
        <v>439</v>
      </c>
      <c r="G88" s="26" t="s">
        <v>266</v>
      </c>
    </row>
    <row r="89" spans="3:7" x14ac:dyDescent="0.2">
      <c r="C89" s="3">
        <v>86</v>
      </c>
      <c r="D89" s="37" t="str">
        <f t="shared" si="2"/>
        <v>Grundwasser-WP</v>
      </c>
      <c r="E89" s="26" t="s">
        <v>103</v>
      </c>
      <c r="F89" s="26" t="s">
        <v>440</v>
      </c>
      <c r="G89" s="26" t="s">
        <v>267</v>
      </c>
    </row>
    <row r="90" spans="3:7" x14ac:dyDescent="0.2">
      <c r="C90" s="3">
        <v>87</v>
      </c>
      <c r="D90" s="37" t="str">
        <f t="shared" si="2"/>
        <v>Holzfeuerung</v>
      </c>
      <c r="E90" s="26" t="s">
        <v>64</v>
      </c>
      <c r="F90" s="26" t="s">
        <v>441</v>
      </c>
      <c r="G90" s="26" t="s">
        <v>268</v>
      </c>
    </row>
    <row r="91" spans="3:7" x14ac:dyDescent="0.2">
      <c r="C91" s="3">
        <v>88</v>
      </c>
      <c r="D91" s="37" t="str">
        <f t="shared" si="2"/>
        <v>Kompakt-WP</v>
      </c>
      <c r="E91" s="26" t="s">
        <v>104</v>
      </c>
      <c r="F91" s="26" t="s">
        <v>442</v>
      </c>
      <c r="G91" s="26" t="s">
        <v>269</v>
      </c>
    </row>
    <row r="92" spans="3:7" x14ac:dyDescent="0.2">
      <c r="C92" s="3">
        <v>89</v>
      </c>
      <c r="D92" s="37" t="str">
        <f t="shared" si="2"/>
        <v>Luft-Wärmepumpe</v>
      </c>
      <c r="E92" s="26" t="s">
        <v>105</v>
      </c>
      <c r="F92" s="26" t="s">
        <v>443</v>
      </c>
      <c r="G92" s="26" t="s">
        <v>270</v>
      </c>
    </row>
    <row r="93" spans="3:7" x14ac:dyDescent="0.2">
      <c r="C93" s="3">
        <v>90</v>
      </c>
      <c r="D93" s="37" t="str">
        <f t="shared" si="2"/>
        <v>Ölfeuerung</v>
      </c>
      <c r="E93" s="26" t="s">
        <v>67</v>
      </c>
      <c r="F93" s="26" t="s">
        <v>444</v>
      </c>
      <c r="G93" s="26" t="s">
        <v>271</v>
      </c>
    </row>
    <row r="94" spans="3:7" x14ac:dyDescent="0.2">
      <c r="C94" s="3">
        <v>91</v>
      </c>
      <c r="D94" s="37" t="str">
        <f t="shared" si="2"/>
        <v>Pelletfeuerung</v>
      </c>
      <c r="E94" s="26" t="s">
        <v>65</v>
      </c>
      <c r="F94" s="26" t="s">
        <v>445</v>
      </c>
      <c r="G94" s="26" t="s">
        <v>272</v>
      </c>
    </row>
    <row r="95" spans="3:7" x14ac:dyDescent="0.2">
      <c r="C95" s="3">
        <v>92</v>
      </c>
      <c r="D95" s="37" t="str">
        <f t="shared" si="2"/>
        <v>Solarenergie thermisch</v>
      </c>
      <c r="E95" s="26" t="s">
        <v>106</v>
      </c>
      <c r="F95" s="26" t="s">
        <v>446</v>
      </c>
      <c r="G95" s="26" t="s">
        <v>273</v>
      </c>
    </row>
    <row r="96" spans="3:7" x14ac:dyDescent="0.2">
      <c r="C96" s="3">
        <v>93</v>
      </c>
      <c r="D96" s="37" t="str">
        <f t="shared" si="2"/>
        <v>WKK</v>
      </c>
      <c r="E96" s="26" t="s">
        <v>107</v>
      </c>
      <c r="F96" s="26" t="s">
        <v>447</v>
      </c>
      <c r="G96" s="26" t="s">
        <v>274</v>
      </c>
    </row>
    <row r="97" spans="3:7" x14ac:dyDescent="0.2">
      <c r="C97" s="3">
        <v>94</v>
      </c>
      <c r="D97" s="37" t="str">
        <f t="shared" si="2"/>
        <v>erneuerbar</v>
      </c>
      <c r="E97" s="26" t="s">
        <v>110</v>
      </c>
      <c r="F97" s="26" t="s">
        <v>448</v>
      </c>
      <c r="G97" s="26" t="s">
        <v>275</v>
      </c>
    </row>
    <row r="98" spans="3:7" x14ac:dyDescent="0.2">
      <c r="C98" s="3">
        <v>95</v>
      </c>
      <c r="D98" s="37" t="str">
        <f t="shared" si="2"/>
        <v>Erlaubt im Minergie-Areal?</v>
      </c>
      <c r="E98" s="26" t="s">
        <v>108</v>
      </c>
      <c r="F98" s="26" t="s">
        <v>449</v>
      </c>
      <c r="G98" s="26" t="s">
        <v>276</v>
      </c>
    </row>
    <row r="99" spans="3:7" ht="24" x14ac:dyDescent="0.2">
      <c r="C99" s="3">
        <v>96</v>
      </c>
      <c r="D99" s="37" t="str">
        <f t="shared" si="2"/>
        <v>Haben alle Gebäude eine erneuerbare Wärmeerzeugung (ohne Spitzenlast)?</v>
      </c>
      <c r="E99" s="26" t="s">
        <v>365</v>
      </c>
      <c r="F99" s="26" t="s">
        <v>522</v>
      </c>
      <c r="G99" s="26" t="s">
        <v>543</v>
      </c>
    </row>
    <row r="100" spans="3:7" x14ac:dyDescent="0.2">
      <c r="C100" s="3">
        <v>97</v>
      </c>
      <c r="D100" s="37" t="str">
        <f t="shared" ref="D100:D131" si="3">INDEX($E$4:$G$503,$C100,$A$1)</f>
        <v>Hinweise zum Hilftstool</v>
      </c>
      <c r="E100" s="26" t="s">
        <v>113</v>
      </c>
      <c r="F100" s="26" t="s">
        <v>450</v>
      </c>
      <c r="G100" s="26" t="s">
        <v>277</v>
      </c>
    </row>
    <row r="101" spans="3:7" x14ac:dyDescent="0.2">
      <c r="C101" s="3">
        <v>98</v>
      </c>
      <c r="D101" s="37" t="str">
        <f t="shared" si="3"/>
        <v>nicht erneuerbar</v>
      </c>
      <c r="E101" s="26" t="s">
        <v>111</v>
      </c>
      <c r="F101" s="26" t="s">
        <v>451</v>
      </c>
      <c r="G101" s="26" t="s">
        <v>278</v>
      </c>
    </row>
    <row r="102" spans="3:7" x14ac:dyDescent="0.2">
      <c r="C102" s="3">
        <v>99</v>
      </c>
      <c r="D102" s="37" t="str">
        <f t="shared" si="3"/>
        <v>Mittlerer</v>
      </c>
      <c r="E102" s="26" t="s">
        <v>173</v>
      </c>
      <c r="F102" s="26" t="s">
        <v>452</v>
      </c>
      <c r="G102" s="26" t="s">
        <v>279</v>
      </c>
    </row>
    <row r="103" spans="3:7" ht="108" x14ac:dyDescent="0.2">
      <c r="C103" s="3">
        <v>100</v>
      </c>
      <c r="D103" s="37" t="str">
        <f t="shared" si="3"/>
        <v>Alle Eingaben erfolgen auf dem Tabellenblatt "Eingabe". Die Eingabefelder sind abhängig von der Art der Eingabe farbig markiert (siehe rechts).
Angaben zur Kompensation von Kennzahlen (Zeile 62 ff) können erst mit dem Vorliegen der Einzelgebäude-Nachweise ausgefüllt werden und sind in der provisorischen Zertifizierung nicht zwingend erforderlich.</v>
      </c>
      <c r="E103" s="450" t="s">
        <v>520</v>
      </c>
      <c r="F103" s="26" t="s">
        <v>521</v>
      </c>
      <c r="G103" s="26" t="s">
        <v>564</v>
      </c>
    </row>
    <row r="104" spans="3:7" x14ac:dyDescent="0.2">
      <c r="C104" s="3">
        <v>101</v>
      </c>
      <c r="D104" s="37" t="str">
        <f t="shared" si="3"/>
        <v>Tabellenblatt "Eingabe"</v>
      </c>
      <c r="E104" s="450" t="s">
        <v>180</v>
      </c>
      <c r="F104" s="26" t="s">
        <v>453</v>
      </c>
      <c r="G104" s="26" t="s">
        <v>280</v>
      </c>
    </row>
    <row r="105" spans="3:7" x14ac:dyDescent="0.2">
      <c r="C105" s="3">
        <v>102</v>
      </c>
      <c r="D105" s="37" t="str">
        <f t="shared" si="3"/>
        <v>Tabellenblatt "Uebersicht"</v>
      </c>
      <c r="E105" s="450" t="s">
        <v>181</v>
      </c>
      <c r="F105" s="26" t="s">
        <v>567</v>
      </c>
      <c r="G105" s="26" t="s">
        <v>281</v>
      </c>
    </row>
    <row r="106" spans="3:7" ht="48" x14ac:dyDescent="0.2">
      <c r="C106" s="3">
        <v>103</v>
      </c>
      <c r="D106" s="37" t="str">
        <f t="shared" si="3"/>
        <v>Alle Resultate sind auf dem Blatt "Uebersicht" verfügbar. Für die Zertifizierung ist die Unterschrift der Areal-Organisation, respektive der Bauherrschaft, auf dem Tabellenblatt "Uebersicht" erforderlich.</v>
      </c>
      <c r="E106" s="450" t="s">
        <v>114</v>
      </c>
      <c r="F106" s="26" t="s">
        <v>454</v>
      </c>
      <c r="G106" s="26" t="s">
        <v>282</v>
      </c>
    </row>
    <row r="107" spans="3:7" ht="24" x14ac:dyDescent="0.2">
      <c r="C107" s="3">
        <v>104</v>
      </c>
      <c r="D107" s="37" t="str">
        <f t="shared" si="3"/>
        <v>Gebäudekategorie (Hauptnutzung) des rückgebauten Gebäudes</v>
      </c>
      <c r="E107" s="450" t="s">
        <v>115</v>
      </c>
      <c r="F107" s="26" t="s">
        <v>455</v>
      </c>
      <c r="G107" s="26" t="s">
        <v>283</v>
      </c>
    </row>
    <row r="108" spans="3:7" x14ac:dyDescent="0.2">
      <c r="C108" s="3">
        <v>105</v>
      </c>
      <c r="D108" s="37" t="str">
        <f t="shared" si="3"/>
        <v>Mittlere</v>
      </c>
      <c r="E108" s="450" t="s">
        <v>172</v>
      </c>
      <c r="F108" s="26" t="s">
        <v>456</v>
      </c>
      <c r="G108" s="26" t="s">
        <v>284</v>
      </c>
    </row>
    <row r="109" spans="3:7" x14ac:dyDescent="0.2">
      <c r="C109" s="3">
        <v>106</v>
      </c>
      <c r="D109" s="37" t="str">
        <f t="shared" si="3"/>
        <v>Neubau</v>
      </c>
      <c r="E109" s="450" t="s">
        <v>123</v>
      </c>
      <c r="F109" s="26" t="s">
        <v>457</v>
      </c>
      <c r="G109" s="26" t="s">
        <v>285</v>
      </c>
    </row>
    <row r="110" spans="3:7" x14ac:dyDescent="0.2">
      <c r="C110" s="3">
        <v>107</v>
      </c>
      <c r="D110" s="37" t="str">
        <f t="shared" si="3"/>
        <v>Ja</v>
      </c>
      <c r="E110" s="450" t="s">
        <v>124</v>
      </c>
      <c r="F110" s="26" t="s">
        <v>458</v>
      </c>
      <c r="G110" s="26" t="s">
        <v>286</v>
      </c>
    </row>
    <row r="111" spans="3:7" x14ac:dyDescent="0.2">
      <c r="C111" s="3">
        <v>108</v>
      </c>
      <c r="D111" s="37" t="str">
        <f t="shared" si="3"/>
        <v>Nein</v>
      </c>
      <c r="E111" s="450" t="s">
        <v>125</v>
      </c>
      <c r="F111" s="26" t="s">
        <v>459</v>
      </c>
      <c r="G111" s="26" t="s">
        <v>287</v>
      </c>
    </row>
    <row r="112" spans="3:7" x14ac:dyDescent="0.2">
      <c r="C112" s="3">
        <v>109</v>
      </c>
      <c r="D112" s="37" t="str">
        <f t="shared" si="3"/>
        <v>Geschossfläche</v>
      </c>
      <c r="E112" s="450" t="s">
        <v>126</v>
      </c>
      <c r="F112" s="26" t="s">
        <v>574</v>
      </c>
      <c r="G112" s="26" t="s">
        <v>288</v>
      </c>
    </row>
    <row r="113" spans="3:7" x14ac:dyDescent="0.2">
      <c r="C113" s="3">
        <v>110</v>
      </c>
      <c r="D113" s="37" t="str">
        <f t="shared" si="3"/>
        <v>Fläche thermische Solarkollektoren</v>
      </c>
      <c r="E113" s="450" t="s">
        <v>127</v>
      </c>
      <c r="F113" s="26" t="s">
        <v>460</v>
      </c>
      <c r="G113" s="26" t="s">
        <v>289</v>
      </c>
    </row>
    <row r="114" spans="3:7" x14ac:dyDescent="0.2">
      <c r="C114" s="3">
        <v>111</v>
      </c>
      <c r="D114" s="37" t="str">
        <f t="shared" si="3"/>
        <v>Zuschläge und Abschläge ganzes Gebäude</v>
      </c>
      <c r="E114" s="450" t="s">
        <v>170</v>
      </c>
      <c r="F114" s="26" t="s">
        <v>461</v>
      </c>
      <c r="G114" s="26" t="s">
        <v>290</v>
      </c>
    </row>
    <row r="115" spans="3:7" x14ac:dyDescent="0.2">
      <c r="C115" s="3">
        <v>112</v>
      </c>
      <c r="D115" s="37" t="str">
        <f t="shared" si="3"/>
        <v>PV-Anlage</v>
      </c>
      <c r="E115" s="450" t="s">
        <v>128</v>
      </c>
      <c r="F115" s="26" t="s">
        <v>462</v>
      </c>
      <c r="G115" s="26" t="s">
        <v>291</v>
      </c>
    </row>
    <row r="116" spans="3:7" x14ac:dyDescent="0.2">
      <c r="C116" s="3">
        <v>113</v>
      </c>
      <c r="D116" s="37" t="str">
        <f t="shared" si="3"/>
        <v>Thermische Solarkollektoren</v>
      </c>
      <c r="E116" s="450" t="s">
        <v>129</v>
      </c>
      <c r="F116" s="26" t="s">
        <v>463</v>
      </c>
      <c r="G116" s="26" t="s">
        <v>292</v>
      </c>
    </row>
    <row r="117" spans="3:7" x14ac:dyDescent="0.2">
      <c r="C117" s="3">
        <v>114</v>
      </c>
      <c r="D117" s="37" t="str">
        <f t="shared" si="3"/>
        <v>Erdsonde</v>
      </c>
      <c r="E117" s="450" t="s">
        <v>130</v>
      </c>
      <c r="F117" s="26" t="s">
        <v>464</v>
      </c>
      <c r="G117" s="26" t="s">
        <v>293</v>
      </c>
    </row>
    <row r="118" spans="3:7" x14ac:dyDescent="0.2">
      <c r="C118" s="3">
        <v>115</v>
      </c>
      <c r="D118" s="37" t="str">
        <f t="shared" si="3"/>
        <v>total</v>
      </c>
      <c r="E118" s="450" t="s">
        <v>134</v>
      </c>
      <c r="F118" s="26" t="s">
        <v>134</v>
      </c>
      <c r="G118" s="26" t="s">
        <v>294</v>
      </c>
    </row>
    <row r="119" spans="3:7" x14ac:dyDescent="0.2">
      <c r="C119" s="3">
        <v>116</v>
      </c>
      <c r="D119" s="37" t="str">
        <f t="shared" si="3"/>
        <v>Basisgrenzwert THGE EBF</v>
      </c>
      <c r="E119" s="450" t="s">
        <v>135</v>
      </c>
      <c r="F119" s="26" t="s">
        <v>465</v>
      </c>
      <c r="G119" s="26" t="s">
        <v>295</v>
      </c>
    </row>
    <row r="120" spans="3:7" x14ac:dyDescent="0.2">
      <c r="C120" s="3">
        <v>117</v>
      </c>
      <c r="D120" s="37" t="str">
        <f t="shared" si="3"/>
        <v>Basisgrenzwert THGE GF-EBF</v>
      </c>
      <c r="E120" s="450" t="s">
        <v>136</v>
      </c>
      <c r="F120" s="26" t="s">
        <v>466</v>
      </c>
      <c r="G120" s="26" t="s">
        <v>296</v>
      </c>
    </row>
    <row r="121" spans="3:7" x14ac:dyDescent="0.2">
      <c r="C121" s="3">
        <v>118</v>
      </c>
      <c r="D121" s="37" t="str">
        <f t="shared" si="3"/>
        <v>Zuschlag</v>
      </c>
      <c r="E121" s="450" t="s">
        <v>169</v>
      </c>
      <c r="F121" s="26" t="s">
        <v>467</v>
      </c>
      <c r="G121" s="26" t="s">
        <v>297</v>
      </c>
    </row>
    <row r="122" spans="3:7" x14ac:dyDescent="0.2">
      <c r="C122" s="3">
        <v>119</v>
      </c>
      <c r="D122" s="37" t="str">
        <f t="shared" si="3"/>
        <v>Wird ein Bestandesbau rückgebaut?</v>
      </c>
      <c r="E122" s="450" t="s">
        <v>183</v>
      </c>
      <c r="F122" s="26" t="s">
        <v>468</v>
      </c>
      <c r="G122" s="26" t="s">
        <v>298</v>
      </c>
    </row>
    <row r="123" spans="3:7" x14ac:dyDescent="0.2">
      <c r="C123" s="3">
        <v>120</v>
      </c>
      <c r="D123" s="37" t="str">
        <f t="shared" si="3"/>
        <v>Keine (Ersatz)neubauten</v>
      </c>
      <c r="E123" s="450" t="s">
        <v>118</v>
      </c>
      <c r="F123" s="26" t="s">
        <v>469</v>
      </c>
      <c r="G123" s="26" t="s">
        <v>299</v>
      </c>
    </row>
    <row r="124" spans="3:7" x14ac:dyDescent="0.2">
      <c r="C124" s="3">
        <v>121</v>
      </c>
      <c r="D124" s="37" t="str">
        <f t="shared" si="3"/>
        <v>Berücksichtigte EBF</v>
      </c>
      <c r="E124" s="450" t="s">
        <v>72</v>
      </c>
      <c r="F124" s="26" t="s">
        <v>470</v>
      </c>
      <c r="G124" s="26" t="s">
        <v>300</v>
      </c>
    </row>
    <row r="125" spans="3:7" ht="24" x14ac:dyDescent="0.2">
      <c r="C125" s="3">
        <v>122</v>
      </c>
      <c r="D125" s="37" t="str">
        <f t="shared" si="3"/>
        <v>Mit dem + in der Spaltenüberschrift weitere Gebäude einfügen</v>
      </c>
      <c r="E125" s="450" t="s">
        <v>120</v>
      </c>
      <c r="F125" s="26" t="s">
        <v>471</v>
      </c>
      <c r="G125" s="26" t="s">
        <v>301</v>
      </c>
    </row>
    <row r="126" spans="3:7" ht="24" x14ac:dyDescent="0.2">
      <c r="C126" s="3">
        <v>123</v>
      </c>
      <c r="D126" s="37" t="str">
        <f t="shared" si="3"/>
        <v>Werden Qh und MKZ zwischen Minergie-Gebäuden kompensiert?</v>
      </c>
      <c r="E126" s="450" t="s">
        <v>82</v>
      </c>
      <c r="F126" s="26" t="s">
        <v>472</v>
      </c>
      <c r="G126" s="26" t="s">
        <v>302</v>
      </c>
    </row>
    <row r="127" spans="3:7" ht="24" x14ac:dyDescent="0.2">
      <c r="C127" s="3">
        <v>124</v>
      </c>
      <c r="D127" s="37" t="str">
        <f t="shared" si="3"/>
        <v>Übertrag aus Gebäude-Minergie-Nachweis (Pflicht bei Kompensation)</v>
      </c>
      <c r="E127" s="450" t="s">
        <v>77</v>
      </c>
      <c r="F127" s="26" t="s">
        <v>473</v>
      </c>
      <c r="G127" s="26" t="s">
        <v>303</v>
      </c>
    </row>
    <row r="128" spans="3:7" x14ac:dyDescent="0.2">
      <c r="C128" s="3">
        <v>125</v>
      </c>
      <c r="D128" s="37" t="str">
        <f t="shared" si="3"/>
        <v>Keiner der genannten Gründe</v>
      </c>
      <c r="E128" s="450" t="s">
        <v>78</v>
      </c>
      <c r="F128" s="26" t="s">
        <v>474</v>
      </c>
      <c r="G128" s="26" t="s">
        <v>304</v>
      </c>
    </row>
    <row r="129" spans="3:7" x14ac:dyDescent="0.2">
      <c r="C129" s="3">
        <v>126</v>
      </c>
      <c r="D129" s="37" t="str">
        <f t="shared" si="3"/>
        <v>Effizienz Solarthermie / PV</v>
      </c>
      <c r="E129" s="450" t="s">
        <v>363</v>
      </c>
      <c r="F129" s="26" t="s">
        <v>523</v>
      </c>
      <c r="G129" s="26" t="s">
        <v>544</v>
      </c>
    </row>
    <row r="130" spans="3:7" ht="24" x14ac:dyDescent="0.2">
      <c r="C130" s="3">
        <v>127</v>
      </c>
      <c r="D130" s="37" t="str">
        <f t="shared" si="3"/>
        <v>Gebäude-ID gemäss Minergie-Antrag (in prov. Zertifizierung: falls verfügbar)</v>
      </c>
      <c r="E130" s="450" t="s">
        <v>116</v>
      </c>
      <c r="F130" s="26" t="s">
        <v>475</v>
      </c>
      <c r="G130" s="26" t="s">
        <v>306</v>
      </c>
    </row>
    <row r="131" spans="3:7" x14ac:dyDescent="0.2">
      <c r="C131" s="3">
        <v>128</v>
      </c>
      <c r="D131" s="37" t="str">
        <f t="shared" si="3"/>
        <v>Eingabe</v>
      </c>
      <c r="E131" s="450" t="s">
        <v>182</v>
      </c>
      <c r="F131" s="26" t="s">
        <v>476</v>
      </c>
      <c r="G131" s="26" t="s">
        <v>307</v>
      </c>
    </row>
    <row r="132" spans="3:7" x14ac:dyDescent="0.2">
      <c r="C132" s="3">
        <v>129</v>
      </c>
      <c r="D132" s="37" t="str">
        <f t="shared" ref="D132:D163" si="4">INDEX($E$4:$G$503,$C132,$A$1)</f>
        <v>Neubauten nach Minergie</v>
      </c>
      <c r="E132" s="450" t="s">
        <v>175</v>
      </c>
      <c r="F132" s="26" t="s">
        <v>477</v>
      </c>
      <c r="G132" s="26" t="s">
        <v>308</v>
      </c>
    </row>
    <row r="133" spans="3:7" x14ac:dyDescent="0.2">
      <c r="C133" s="3">
        <v>130</v>
      </c>
      <c r="D133" s="37" t="str">
        <f t="shared" si="4"/>
        <v>C1.4 Nutzung solare Energie</v>
      </c>
      <c r="E133" s="450" t="s">
        <v>83</v>
      </c>
      <c r="F133" s="26" t="s">
        <v>478</v>
      </c>
      <c r="G133" s="26" t="s">
        <v>309</v>
      </c>
    </row>
    <row r="134" spans="3:7" x14ac:dyDescent="0.2">
      <c r="C134" s="3">
        <v>131</v>
      </c>
      <c r="D134" s="37" t="str">
        <f t="shared" si="4"/>
        <v>C2.1 Treibhausgasemissionen in der Erstellung</v>
      </c>
      <c r="E134" s="450" t="s">
        <v>84</v>
      </c>
      <c r="F134" s="26" t="s">
        <v>479</v>
      </c>
      <c r="G134" s="26" t="s">
        <v>310</v>
      </c>
    </row>
    <row r="135" spans="3:7" ht="24" x14ac:dyDescent="0.2">
      <c r="C135" s="3">
        <v>132</v>
      </c>
      <c r="D135" s="37" t="str">
        <f t="shared" si="4"/>
        <v>Anteil Bestandesbauten mit Ausnahmeregelung</v>
      </c>
      <c r="E135" s="450" t="s">
        <v>167</v>
      </c>
      <c r="F135" s="26" t="s">
        <v>480</v>
      </c>
      <c r="G135" s="26" t="s">
        <v>311</v>
      </c>
    </row>
    <row r="136" spans="3:7" ht="24" x14ac:dyDescent="0.2">
      <c r="C136" s="3">
        <v>133</v>
      </c>
      <c r="D136" s="37" t="str">
        <f t="shared" si="4"/>
        <v>Erfüllung der Anforderungen Minergie-Areal Themen  A und C</v>
      </c>
      <c r="E136" s="450" t="s">
        <v>119</v>
      </c>
      <c r="F136" s="26" t="s">
        <v>481</v>
      </c>
      <c r="G136" s="26" t="s">
        <v>312</v>
      </c>
    </row>
    <row r="137" spans="3:7" ht="24" x14ac:dyDescent="0.2">
      <c r="C137" s="3">
        <v>134</v>
      </c>
      <c r="D137" s="37" t="str">
        <f t="shared" si="4"/>
        <v>Erfüllung der Anforderungen im Fall von Kompensation zwischen Minergie-Gebäuden</v>
      </c>
      <c r="E137" s="450" t="s">
        <v>85</v>
      </c>
      <c r="F137" s="26" t="s">
        <v>482</v>
      </c>
      <c r="G137" s="26" t="s">
        <v>313</v>
      </c>
    </row>
    <row r="138" spans="3:7" x14ac:dyDescent="0.2">
      <c r="C138" s="3">
        <v>135</v>
      </c>
      <c r="D138" s="37" t="str">
        <f t="shared" si="4"/>
        <v>Das Total der EBF-Anteile muss 100% ergeben!</v>
      </c>
      <c r="E138" s="450" t="s">
        <v>357</v>
      </c>
      <c r="F138" s="26" t="s">
        <v>524</v>
      </c>
      <c r="G138" s="26" t="s">
        <v>545</v>
      </c>
    </row>
    <row r="139" spans="3:7" x14ac:dyDescent="0.2">
      <c r="C139" s="3">
        <v>136</v>
      </c>
      <c r="D139" s="37" t="str">
        <f t="shared" si="4"/>
        <v>Fehlende Eingabe</v>
      </c>
      <c r="E139" s="450" t="s">
        <v>148</v>
      </c>
      <c r="F139" s="26" t="s">
        <v>483</v>
      </c>
      <c r="G139" s="26" t="s">
        <v>314</v>
      </c>
    </row>
    <row r="140" spans="3:7" x14ac:dyDescent="0.2">
      <c r="C140" s="3">
        <v>137</v>
      </c>
      <c r="D140" s="37" t="str">
        <f t="shared" si="4"/>
        <v>Pflichtvorgaben Minergie-Areal</v>
      </c>
      <c r="E140" s="450" t="s">
        <v>86</v>
      </c>
      <c r="F140" s="26" t="s">
        <v>484</v>
      </c>
      <c r="G140" s="26" t="s">
        <v>315</v>
      </c>
    </row>
    <row r="141" spans="3:7" x14ac:dyDescent="0.2">
      <c r="C141" s="3">
        <v>138</v>
      </c>
      <c r="D141" s="37" t="str">
        <f t="shared" si="4"/>
        <v>Liste</v>
      </c>
      <c r="E141" s="450" t="s">
        <v>87</v>
      </c>
      <c r="F141" s="26" t="s">
        <v>87</v>
      </c>
      <c r="G141" s="26" t="s">
        <v>316</v>
      </c>
    </row>
    <row r="142" spans="3:7" x14ac:dyDescent="0.2">
      <c r="C142" s="3">
        <v>139</v>
      </c>
      <c r="D142" s="37" t="str">
        <f t="shared" si="4"/>
        <v>Kompensation</v>
      </c>
      <c r="E142" s="450" t="s">
        <v>147</v>
      </c>
      <c r="F142" s="26" t="s">
        <v>485</v>
      </c>
      <c r="G142" s="26" t="s">
        <v>317</v>
      </c>
    </row>
    <row r="143" spans="3:7" x14ac:dyDescent="0.2">
      <c r="C143" s="3">
        <v>140</v>
      </c>
      <c r="D143" s="37" t="str">
        <f t="shared" si="4"/>
        <v>Systemerneuerung nach Minergie</v>
      </c>
      <c r="E143" s="450" t="s">
        <v>60</v>
      </c>
      <c r="F143" s="26" t="s">
        <v>486</v>
      </c>
      <c r="G143" s="26" t="s">
        <v>318</v>
      </c>
    </row>
    <row r="144" spans="3:7" x14ac:dyDescent="0.2">
      <c r="C144" s="3">
        <v>141</v>
      </c>
      <c r="D144" s="37" t="str">
        <f t="shared" si="4"/>
        <v>Keine Minergie-A(-ECO)-Gebäude</v>
      </c>
      <c r="E144" s="450" t="s">
        <v>88</v>
      </c>
      <c r="F144" s="26" t="s">
        <v>487</v>
      </c>
      <c r="G144" s="26" t="s">
        <v>319</v>
      </c>
    </row>
    <row r="145" spans="3:7" x14ac:dyDescent="0.2">
      <c r="C145" s="3">
        <v>142</v>
      </c>
      <c r="D145" s="37" t="str">
        <f t="shared" si="4"/>
        <v>Keine Minergie-P(-ECO)-Gebäude</v>
      </c>
      <c r="E145" s="450" t="s">
        <v>89</v>
      </c>
      <c r="F145" s="26" t="s">
        <v>488</v>
      </c>
      <c r="G145" s="26" t="s">
        <v>320</v>
      </c>
    </row>
    <row r="146" spans="3:7" ht="24" x14ac:dyDescent="0.2">
      <c r="C146" s="3">
        <v>143</v>
      </c>
      <c r="D146" s="37" t="str">
        <f t="shared" si="4"/>
        <v>Erneuerungen nach Minergie (inkl. Systemerneuerungen)</v>
      </c>
      <c r="E146" s="450" t="s">
        <v>176</v>
      </c>
      <c r="F146" s="26" t="s">
        <v>489</v>
      </c>
      <c r="G146" s="26" t="s">
        <v>546</v>
      </c>
    </row>
    <row r="147" spans="3:7" x14ac:dyDescent="0.2">
      <c r="C147" s="3">
        <v>144</v>
      </c>
      <c r="D147" s="37" t="str">
        <f t="shared" si="4"/>
        <v>Zertifikatsnummer</v>
      </c>
      <c r="E147" s="450" t="s">
        <v>117</v>
      </c>
      <c r="F147" s="26" t="s">
        <v>490</v>
      </c>
      <c r="G147" s="26" t="s">
        <v>321</v>
      </c>
    </row>
    <row r="148" spans="3:7" ht="36" x14ac:dyDescent="0.2">
      <c r="C148" s="3">
        <v>145</v>
      </c>
      <c r="D148" s="37" t="str">
        <f t="shared" si="4"/>
        <v>Die Bauherrschaft / Areal-Organisation bestätigt, dass die gemachten Angaben im vorliegenden Hilfstool korrekt sind.</v>
      </c>
      <c r="E148" s="450" t="s">
        <v>94</v>
      </c>
      <c r="F148" s="26" t="s">
        <v>491</v>
      </c>
      <c r="G148" s="26" t="s">
        <v>322</v>
      </c>
    </row>
    <row r="149" spans="3:7" x14ac:dyDescent="0.2">
      <c r="C149" s="3">
        <v>146</v>
      </c>
      <c r="D149" s="37" t="str">
        <f t="shared" si="4"/>
        <v>Unterschrift</v>
      </c>
      <c r="E149" s="450" t="s">
        <v>90</v>
      </c>
      <c r="F149" s="26" t="s">
        <v>492</v>
      </c>
      <c r="G149" s="26" t="s">
        <v>323</v>
      </c>
    </row>
    <row r="150" spans="3:7" x14ac:dyDescent="0.2">
      <c r="C150" s="3">
        <v>147</v>
      </c>
      <c r="D150" s="37" t="str">
        <f t="shared" si="4"/>
        <v>Ort</v>
      </c>
      <c r="E150" s="450" t="s">
        <v>91</v>
      </c>
      <c r="F150" s="26" t="s">
        <v>493</v>
      </c>
      <c r="G150" s="26" t="s">
        <v>324</v>
      </c>
    </row>
    <row r="151" spans="3:7" x14ac:dyDescent="0.2">
      <c r="C151" s="3">
        <v>148</v>
      </c>
      <c r="D151" s="37" t="str">
        <f t="shared" si="4"/>
        <v>Datum</v>
      </c>
      <c r="E151" s="450" t="s">
        <v>92</v>
      </c>
      <c r="F151" s="26" t="s">
        <v>494</v>
      </c>
      <c r="G151" s="26" t="s">
        <v>325</v>
      </c>
    </row>
    <row r="152" spans="3:7" x14ac:dyDescent="0.2">
      <c r="C152" s="3">
        <v>149</v>
      </c>
      <c r="D152" s="37" t="str">
        <f t="shared" si="4"/>
        <v>Name und Vorname</v>
      </c>
      <c r="E152" s="450" t="s">
        <v>93</v>
      </c>
      <c r="F152" s="26" t="s">
        <v>495</v>
      </c>
      <c r="G152" s="26" t="s">
        <v>326</v>
      </c>
    </row>
    <row r="153" spans="3:7" ht="24" x14ac:dyDescent="0.2">
      <c r="C153" s="3">
        <v>150</v>
      </c>
      <c r="D153" s="37" t="str">
        <f t="shared" si="4"/>
        <v>Keine Bestandesbauten mit Ausnahmeregelung</v>
      </c>
      <c r="E153" s="450" t="s">
        <v>112</v>
      </c>
      <c r="F153" s="26" t="s">
        <v>496</v>
      </c>
      <c r="G153" s="26" t="s">
        <v>327</v>
      </c>
    </row>
    <row r="154" spans="3:7" x14ac:dyDescent="0.2">
      <c r="C154" s="3">
        <v>151</v>
      </c>
      <c r="D154" s="37" t="str">
        <f t="shared" si="4"/>
        <v>warm</v>
      </c>
      <c r="E154" s="450" t="s">
        <v>153</v>
      </c>
      <c r="F154" s="26" t="s">
        <v>497</v>
      </c>
      <c r="G154" s="26" t="s">
        <v>328</v>
      </c>
    </row>
    <row r="155" spans="3:7" x14ac:dyDescent="0.2">
      <c r="C155" s="3">
        <v>152</v>
      </c>
      <c r="D155" s="37" t="str">
        <f t="shared" si="4"/>
        <v>kalt</v>
      </c>
      <c r="E155" s="450" t="s">
        <v>154</v>
      </c>
      <c r="F155" s="26" t="s">
        <v>498</v>
      </c>
      <c r="G155" s="26" t="s">
        <v>329</v>
      </c>
    </row>
    <row r="156" spans="3:7" ht="24" x14ac:dyDescent="0.2">
      <c r="C156" s="3">
        <v>153</v>
      </c>
      <c r="D156" s="37" t="str">
        <f t="shared" si="4"/>
        <v>Angaben bei Neubauten / Erneuerungen nach Minergie</v>
      </c>
      <c r="E156" s="450" t="s">
        <v>157</v>
      </c>
      <c r="F156" s="26" t="s">
        <v>499</v>
      </c>
      <c r="G156" s="26" t="s">
        <v>547</v>
      </c>
    </row>
    <row r="157" spans="3:7" x14ac:dyDescent="0.2">
      <c r="C157" s="3">
        <v>154</v>
      </c>
      <c r="D157" s="37" t="str">
        <f t="shared" si="4"/>
        <v>Bestandesbauten</v>
      </c>
      <c r="E157" s="450" t="s">
        <v>149</v>
      </c>
      <c r="F157" s="26" t="s">
        <v>500</v>
      </c>
      <c r="G157" s="26" t="s">
        <v>330</v>
      </c>
    </row>
    <row r="158" spans="3:7" x14ac:dyDescent="0.2">
      <c r="C158" s="3">
        <v>155</v>
      </c>
      <c r="D158" s="37" t="str">
        <f t="shared" si="4"/>
        <v>Berechnungen</v>
      </c>
      <c r="E158" s="450" t="s">
        <v>150</v>
      </c>
      <c r="F158" s="26" t="s">
        <v>501</v>
      </c>
      <c r="G158" s="26" t="s">
        <v>331</v>
      </c>
    </row>
    <row r="159" spans="3:7" x14ac:dyDescent="0.2">
      <c r="C159" s="3">
        <v>156</v>
      </c>
      <c r="D159" s="37" t="str">
        <f t="shared" si="4"/>
        <v>EBF</v>
      </c>
      <c r="E159" s="450" t="s">
        <v>138</v>
      </c>
      <c r="F159" s="26" t="s">
        <v>502</v>
      </c>
      <c r="G159" s="26" t="s">
        <v>332</v>
      </c>
    </row>
    <row r="160" spans="3:7" x14ac:dyDescent="0.2">
      <c r="C160" s="3">
        <v>157</v>
      </c>
      <c r="D160" s="37" t="str">
        <f t="shared" si="4"/>
        <v>GF - EBF</v>
      </c>
      <c r="E160" s="451" t="s">
        <v>152</v>
      </c>
      <c r="F160" s="26" t="s">
        <v>503</v>
      </c>
      <c r="G160" s="26" t="s">
        <v>333</v>
      </c>
    </row>
    <row r="161" spans="3:7" ht="24" x14ac:dyDescent="0.2">
      <c r="C161" s="3">
        <v>158</v>
      </c>
      <c r="D161" s="37" t="str">
        <f t="shared" si="4"/>
        <v>Angaben bei Bestandesbauten mit Ausnahmeregelung</v>
      </c>
      <c r="E161" s="450" t="s">
        <v>158</v>
      </c>
      <c r="F161" s="26" t="s">
        <v>504</v>
      </c>
      <c r="G161" s="26" t="s">
        <v>334</v>
      </c>
    </row>
    <row r="162" spans="3:7" x14ac:dyDescent="0.2">
      <c r="C162" s="3">
        <v>159</v>
      </c>
      <c r="D162" s="37" t="str">
        <f t="shared" si="4"/>
        <v>Treibhausgase in der Erstellung</v>
      </c>
      <c r="E162" s="450" t="s">
        <v>159</v>
      </c>
      <c r="F162" s="26" t="s">
        <v>570</v>
      </c>
      <c r="G162" s="26" t="s">
        <v>335</v>
      </c>
    </row>
    <row r="163" spans="3:7" x14ac:dyDescent="0.2">
      <c r="C163" s="3">
        <v>160</v>
      </c>
      <c r="D163" s="37" t="str">
        <f t="shared" si="4"/>
        <v>Eingabefeld (Freiwillig)</v>
      </c>
      <c r="E163" s="450" t="s">
        <v>145</v>
      </c>
      <c r="F163" s="26" t="s">
        <v>505</v>
      </c>
      <c r="G163" s="26" t="s">
        <v>336</v>
      </c>
    </row>
    <row r="164" spans="3:7" x14ac:dyDescent="0.2">
      <c r="C164" s="3">
        <v>161</v>
      </c>
      <c r="D164" s="37" t="str">
        <f t="shared" ref="D164:D208" si="5">INDEX($E$4:$G$503,$C164,$A$1)</f>
        <v>Standardwert</v>
      </c>
      <c r="E164" s="450" t="s">
        <v>162</v>
      </c>
      <c r="F164" s="26" t="s">
        <v>506</v>
      </c>
      <c r="G164" s="26" t="s">
        <v>337</v>
      </c>
    </row>
    <row r="165" spans="3:7" x14ac:dyDescent="0.2">
      <c r="C165" s="3">
        <v>162</v>
      </c>
      <c r="D165" s="37" t="str">
        <f t="shared" si="5"/>
        <v>Standardwert überschreiben</v>
      </c>
      <c r="E165" s="450" t="s">
        <v>163</v>
      </c>
      <c r="F165" s="26" t="s">
        <v>507</v>
      </c>
      <c r="G165" s="26" t="s">
        <v>338</v>
      </c>
    </row>
    <row r="166" spans="3:7" x14ac:dyDescent="0.2">
      <c r="C166" s="3">
        <v>163</v>
      </c>
      <c r="D166" s="37" t="str">
        <f t="shared" si="5"/>
        <v>kgCO2eq/m2 EBF Neubau</v>
      </c>
      <c r="E166" s="450" t="s">
        <v>195</v>
      </c>
      <c r="F166" s="26" t="s">
        <v>508</v>
      </c>
      <c r="G166" s="26" t="s">
        <v>339</v>
      </c>
    </row>
    <row r="167" spans="3:7" x14ac:dyDescent="0.2">
      <c r="C167" s="3">
        <v>164</v>
      </c>
      <c r="D167" s="37" t="str">
        <f t="shared" si="5"/>
        <v>Zusätzliche</v>
      </c>
      <c r="E167" s="450" t="s">
        <v>165</v>
      </c>
      <c r="F167" s="26" t="s">
        <v>509</v>
      </c>
      <c r="G167" s="26" t="s">
        <v>340</v>
      </c>
    </row>
    <row r="168" spans="3:7" x14ac:dyDescent="0.2">
      <c r="C168" s="3">
        <v>165</v>
      </c>
      <c r="D168" s="37" t="str">
        <f t="shared" si="5"/>
        <v>A1.1 Zertifizierung nach Minergie (-P/-A/-ECO)</v>
      </c>
      <c r="E168" s="450" t="s">
        <v>166</v>
      </c>
      <c r="F168" s="26" t="s">
        <v>510</v>
      </c>
      <c r="G168" s="26" t="s">
        <v>341</v>
      </c>
    </row>
    <row r="169" spans="3:7" x14ac:dyDescent="0.2">
      <c r="C169" s="3">
        <v>166</v>
      </c>
      <c r="D169" s="37" t="str">
        <f t="shared" si="5"/>
        <v>C1.1 Betriebsenergie</v>
      </c>
      <c r="E169" s="450" t="s">
        <v>109</v>
      </c>
      <c r="F169" s="26" t="s">
        <v>511</v>
      </c>
      <c r="G169" s="26" t="s">
        <v>342</v>
      </c>
    </row>
    <row r="170" spans="3:7" x14ac:dyDescent="0.2">
      <c r="C170" s="3">
        <v>167</v>
      </c>
      <c r="D170" s="37" t="str">
        <f t="shared" si="5"/>
        <v>Kommentare / Bemerkungen</v>
      </c>
      <c r="E170" s="450" t="s">
        <v>177</v>
      </c>
      <c r="F170" s="26" t="s">
        <v>512</v>
      </c>
      <c r="G170" s="26" t="s">
        <v>343</v>
      </c>
    </row>
    <row r="171" spans="3:7" x14ac:dyDescent="0.2">
      <c r="C171" s="3">
        <v>168</v>
      </c>
      <c r="D171" s="37" t="str">
        <f t="shared" si="5"/>
        <v>aller Neubauten und Erneuerungen</v>
      </c>
      <c r="E171" s="450" t="s">
        <v>178</v>
      </c>
      <c r="F171" s="26" t="s">
        <v>513</v>
      </c>
      <c r="G171" s="26" t="s">
        <v>548</v>
      </c>
    </row>
    <row r="172" spans="3:7" x14ac:dyDescent="0.2">
      <c r="C172" s="3">
        <v>169</v>
      </c>
      <c r="D172" s="37" t="str">
        <f t="shared" si="5"/>
        <v>aller Neubauten</v>
      </c>
      <c r="E172" s="450" t="s">
        <v>179</v>
      </c>
      <c r="F172" s="26" t="s">
        <v>514</v>
      </c>
      <c r="G172" s="26" t="s">
        <v>344</v>
      </c>
    </row>
    <row r="173" spans="3:7" ht="24" x14ac:dyDescent="0.2">
      <c r="C173" s="3">
        <v>170</v>
      </c>
      <c r="D173" s="37" t="str">
        <f t="shared" si="5"/>
        <v>Angaben zum Rückbau von Bestandesbauten</v>
      </c>
      <c r="E173" s="450" t="s">
        <v>184</v>
      </c>
      <c r="F173" s="26" t="s">
        <v>515</v>
      </c>
      <c r="G173" s="26" t="s">
        <v>345</v>
      </c>
    </row>
    <row r="174" spans="3:7" x14ac:dyDescent="0.2">
      <c r="C174" s="3">
        <v>171</v>
      </c>
      <c r="D174" s="37" t="str">
        <f t="shared" si="5"/>
        <v>Angaben zum Neubau</v>
      </c>
      <c r="E174" s="450" t="s">
        <v>185</v>
      </c>
      <c r="F174" s="26" t="s">
        <v>516</v>
      </c>
      <c r="G174" s="26" t="s">
        <v>346</v>
      </c>
    </row>
    <row r="175" spans="3:7" ht="24" x14ac:dyDescent="0.2">
      <c r="C175" s="3">
        <v>172</v>
      </c>
      <c r="D175" s="37" t="str">
        <f t="shared" si="5"/>
        <v>Energiebezugsflächen EBF nach Gebäudekategorie</v>
      </c>
      <c r="E175" s="450" t="s">
        <v>186</v>
      </c>
      <c r="F175" s="26" t="s">
        <v>517</v>
      </c>
      <c r="G175" s="26" t="s">
        <v>347</v>
      </c>
    </row>
    <row r="176" spans="3:7" x14ac:dyDescent="0.2">
      <c r="C176" s="3">
        <v>173</v>
      </c>
      <c r="D176" s="37" t="str">
        <f t="shared" si="5"/>
        <v>Gebäudekategorie (Hauptnutzung)</v>
      </c>
      <c r="E176" s="450" t="s">
        <v>187</v>
      </c>
      <c r="F176" s="26" t="s">
        <v>518</v>
      </c>
      <c r="G176" s="26" t="s">
        <v>348</v>
      </c>
    </row>
    <row r="177" spans="3:7" x14ac:dyDescent="0.2">
      <c r="C177" s="3">
        <v>174</v>
      </c>
      <c r="D177" s="37" t="str">
        <f t="shared" si="5"/>
        <v>Wohnen</v>
      </c>
      <c r="E177" s="450" t="s">
        <v>188</v>
      </c>
      <c r="F177" s="26" t="s">
        <v>569</v>
      </c>
      <c r="G177" s="26" t="s">
        <v>349</v>
      </c>
    </row>
    <row r="178" spans="3:7" ht="24" x14ac:dyDescent="0.2">
      <c r="C178" s="3">
        <v>175</v>
      </c>
      <c r="D178" s="37" t="str">
        <f t="shared" si="5"/>
        <v>Achtung: Summe weicht von EBF total ab. Bitte Eingabe prüfen.</v>
      </c>
      <c r="E178" s="450" t="s">
        <v>190</v>
      </c>
      <c r="F178" s="26" t="s">
        <v>519</v>
      </c>
      <c r="G178" s="26" t="s">
        <v>350</v>
      </c>
    </row>
    <row r="179" spans="3:7" ht="24" x14ac:dyDescent="0.2">
      <c r="C179" s="3">
        <v>176</v>
      </c>
      <c r="D179" s="37" t="str">
        <f t="shared" si="5"/>
        <v>Kommentar Eingabe!D10
Jedes Gebäude ist einzeln zu erfassen</v>
      </c>
      <c r="E179" s="450" t="s">
        <v>354</v>
      </c>
      <c r="F179" s="417" t="s">
        <v>525</v>
      </c>
      <c r="G179" s="26" t="s">
        <v>549</v>
      </c>
    </row>
    <row r="180" spans="3:7" ht="48" x14ac:dyDescent="0.2">
      <c r="C180" s="3">
        <v>177</v>
      </c>
      <c r="D180" s="37" t="str">
        <f t="shared" si="5"/>
        <v>Kommentar Eingabe!D12
Standardmässig werden 80% der GF als EBF verwendet. Bei Abweichung kann der Wert in der folgenden Zeile überschrieben werden.</v>
      </c>
      <c r="E180" s="450" t="s">
        <v>353</v>
      </c>
      <c r="F180" s="417" t="s">
        <v>575</v>
      </c>
      <c r="G180" s="26" t="s">
        <v>550</v>
      </c>
    </row>
    <row r="181" spans="3:7" ht="48" x14ac:dyDescent="0.2">
      <c r="C181" s="3">
        <v>178</v>
      </c>
      <c r="D181" s="37" t="str">
        <f t="shared" si="5"/>
        <v>Kommentar Eingabe!D22
Gebäude mit Erneuerungs- und Neubau-Zonen müssen als separate Gebäude eingegeben werden.</v>
      </c>
      <c r="E181" s="450" t="s">
        <v>352</v>
      </c>
      <c r="F181" s="417" t="s">
        <v>526</v>
      </c>
      <c r="G181" s="26" t="s">
        <v>551</v>
      </c>
    </row>
    <row r="182" spans="3:7" ht="48" x14ac:dyDescent="0.2">
      <c r="C182" s="3">
        <v>179</v>
      </c>
      <c r="D182" s="37" t="str">
        <f t="shared" si="5"/>
        <v xml:space="preserve">Kommentar Eingabe!D53
Berechnung mit dem einfachen Nachweis gemäss Gebäudestandard Minergie oder einem zugelassen Ökobilanzierungstool. </v>
      </c>
      <c r="E182" s="450" t="s">
        <v>362</v>
      </c>
      <c r="F182" s="417" t="s">
        <v>537</v>
      </c>
      <c r="G182" s="26" t="s">
        <v>552</v>
      </c>
    </row>
    <row r="183" spans="3:7" ht="36" x14ac:dyDescent="0.2">
      <c r="C183" s="3">
        <v>180</v>
      </c>
      <c r="D183" s="37" t="str">
        <f t="shared" si="5"/>
        <v>Kommentar Eingabe!D55
Wärmeerzeugung für Heizung und Warmwasser. Spitzenlast bitte nachfolgend eingeben.</v>
      </c>
      <c r="E183" s="450" t="s">
        <v>359</v>
      </c>
      <c r="F183" s="417" t="s">
        <v>527</v>
      </c>
      <c r="G183" s="26" t="s">
        <v>553</v>
      </c>
    </row>
    <row r="184" spans="3:7" ht="24" x14ac:dyDescent="0.2">
      <c r="C184" s="3">
        <v>181</v>
      </c>
      <c r="D184" s="37" t="str">
        <f t="shared" si="5"/>
        <v>Anrechnung PV-Anlage (20% Eigenverbrauch + 40% der Einspeisung)</v>
      </c>
      <c r="E184" s="450" t="s">
        <v>355</v>
      </c>
      <c r="F184" s="26" t="s">
        <v>528</v>
      </c>
      <c r="G184" s="26" t="s">
        <v>554</v>
      </c>
    </row>
    <row r="185" spans="3:7" x14ac:dyDescent="0.2">
      <c r="C185" s="3">
        <v>182</v>
      </c>
      <c r="D185" s="37" t="str">
        <f t="shared" si="5"/>
        <v>Energiebezugsfläche EBF für Berechnung</v>
      </c>
      <c r="E185" s="450" t="s">
        <v>141</v>
      </c>
      <c r="F185" s="26" t="s">
        <v>529</v>
      </c>
      <c r="G185" s="26" t="s">
        <v>555</v>
      </c>
    </row>
    <row r="186" spans="3:7" x14ac:dyDescent="0.2">
      <c r="C186" s="3">
        <v>183</v>
      </c>
      <c r="D186" s="37" t="str">
        <f t="shared" si="5"/>
        <v>Anteil</v>
      </c>
      <c r="E186" s="450" t="s">
        <v>356</v>
      </c>
      <c r="F186" s="26" t="s">
        <v>530</v>
      </c>
      <c r="G186" s="26" t="s">
        <v>556</v>
      </c>
    </row>
    <row r="187" spans="3:7" x14ac:dyDescent="0.2">
      <c r="C187" s="3">
        <v>184</v>
      </c>
      <c r="D187" s="37" t="str">
        <f t="shared" si="5"/>
        <v>Spitzenlast</v>
      </c>
      <c r="E187" s="450" t="s">
        <v>358</v>
      </c>
      <c r="F187" s="26" t="s">
        <v>531</v>
      </c>
      <c r="G187" s="26" t="s">
        <v>557</v>
      </c>
    </row>
    <row r="188" spans="3:7" ht="60" x14ac:dyDescent="0.2">
      <c r="C188" s="3">
        <v>185</v>
      </c>
      <c r="D188" s="37" t="str">
        <f t="shared" si="5"/>
        <v>Kommentar Eingabe!D56 und D57
Wärmeerzeugung für Heizung und Warmwasser. Spitzenlast bitte nachfolgend eingeben. Eingabe nur falls mehrere Wärmeerzeuger eingesetzt werden.</v>
      </c>
      <c r="E188" s="450" t="s">
        <v>360</v>
      </c>
      <c r="F188" s="26" t="s">
        <v>532</v>
      </c>
      <c r="G188" s="26" t="s">
        <v>558</v>
      </c>
    </row>
    <row r="189" spans="3:7" ht="60" x14ac:dyDescent="0.2">
      <c r="C189" s="3">
        <v>186</v>
      </c>
      <c r="D189" s="37" t="str">
        <f t="shared" si="5"/>
        <v>Kommentar Eingabe!D58
Fossile Spitzenlastabdeckung ist entsprechend dem aktuell gültigem Produktreglement Gebäudestandards MINERGIE / MINERGIE-P / MINERGIE-A zugelassen.</v>
      </c>
      <c r="E189" s="450" t="s">
        <v>361</v>
      </c>
      <c r="F189" s="26" t="s">
        <v>538</v>
      </c>
      <c r="G189" s="26" t="s">
        <v>559</v>
      </c>
    </row>
    <row r="190" spans="3:7" ht="60" x14ac:dyDescent="0.2">
      <c r="C190" s="3">
        <v>187</v>
      </c>
      <c r="D190" s="37" t="str">
        <f t="shared" si="5"/>
        <v>Kommentar Eingabe!D44
Solarthermie-Anlagen werden auch bei "C1.4 Nutzung solare Energie" angerechnet. Bitte Solarthermie-Anlagen unter "Wärmeerzeugung" eingeben.</v>
      </c>
      <c r="E190" s="450" t="s">
        <v>366</v>
      </c>
      <c r="F190" s="26" t="s">
        <v>533</v>
      </c>
      <c r="G190" s="26" t="s">
        <v>560</v>
      </c>
    </row>
    <row r="191" spans="3:7" ht="36" x14ac:dyDescent="0.2">
      <c r="C191" s="3">
        <v>188</v>
      </c>
      <c r="D191" s="37" t="str">
        <f t="shared" si="5"/>
        <v>Bauten im Schutzinventar: lässt kommunale Vorschrift PV-Anlage  zu?</v>
      </c>
      <c r="E191" s="450" t="s">
        <v>370</v>
      </c>
      <c r="F191" s="26" t="s">
        <v>539</v>
      </c>
      <c r="G191" s="26" t="s">
        <v>565</v>
      </c>
    </row>
    <row r="192" spans="3:7" x14ac:dyDescent="0.2">
      <c r="C192" s="3">
        <v>189</v>
      </c>
      <c r="D192" s="37" t="str">
        <f t="shared" si="5"/>
        <v>PV-Anlage zugelassen</v>
      </c>
      <c r="E192" s="450" t="s">
        <v>368</v>
      </c>
      <c r="F192" s="26" t="s">
        <v>534</v>
      </c>
      <c r="G192" s="26" t="s">
        <v>561</v>
      </c>
    </row>
    <row r="193" spans="3:7" x14ac:dyDescent="0.2">
      <c r="C193" s="3">
        <v>190</v>
      </c>
      <c r="D193" s="37" t="str">
        <f t="shared" si="5"/>
        <v>PV-Anlage nicht zugelassen</v>
      </c>
      <c r="E193" s="450" t="s">
        <v>367</v>
      </c>
      <c r="F193" s="26" t="s">
        <v>535</v>
      </c>
      <c r="G193" s="26" t="s">
        <v>562</v>
      </c>
    </row>
    <row r="194" spans="3:7" x14ac:dyDescent="0.2">
      <c r="C194" s="3">
        <v>191</v>
      </c>
      <c r="D194" s="37" t="str">
        <f t="shared" si="5"/>
        <v>leer</v>
      </c>
      <c r="E194" s="26" t="s">
        <v>369</v>
      </c>
      <c r="F194" s="26" t="s">
        <v>536</v>
      </c>
      <c r="G194" s="26" t="s">
        <v>563</v>
      </c>
    </row>
    <row r="195" spans="3:7" x14ac:dyDescent="0.2">
      <c r="C195" s="3">
        <v>192</v>
      </c>
      <c r="D195" s="37">
        <f t="shared" si="5"/>
        <v>0</v>
      </c>
    </row>
    <row r="196" spans="3:7" x14ac:dyDescent="0.2">
      <c r="C196" s="3">
        <v>193</v>
      </c>
      <c r="D196" s="37">
        <f t="shared" si="5"/>
        <v>0</v>
      </c>
    </row>
    <row r="197" spans="3:7" x14ac:dyDescent="0.2">
      <c r="C197" s="3">
        <v>194</v>
      </c>
      <c r="D197" s="37">
        <f t="shared" si="5"/>
        <v>0</v>
      </c>
    </row>
    <row r="198" spans="3:7" x14ac:dyDescent="0.2">
      <c r="C198" s="3">
        <v>195</v>
      </c>
      <c r="D198" s="37">
        <f t="shared" si="5"/>
        <v>0</v>
      </c>
    </row>
    <row r="199" spans="3:7" x14ac:dyDescent="0.2">
      <c r="C199" s="3">
        <v>196</v>
      </c>
      <c r="D199" s="37">
        <f t="shared" si="5"/>
        <v>0</v>
      </c>
    </row>
    <row r="200" spans="3:7" x14ac:dyDescent="0.2">
      <c r="C200" s="3">
        <v>197</v>
      </c>
      <c r="D200" s="37">
        <f t="shared" si="5"/>
        <v>0</v>
      </c>
    </row>
    <row r="201" spans="3:7" x14ac:dyDescent="0.2">
      <c r="C201" s="3">
        <v>198</v>
      </c>
      <c r="D201" s="37">
        <f t="shared" si="5"/>
        <v>0</v>
      </c>
    </row>
    <row r="202" spans="3:7" x14ac:dyDescent="0.2">
      <c r="C202" s="3">
        <v>199</v>
      </c>
      <c r="D202" s="37">
        <f t="shared" si="5"/>
        <v>0</v>
      </c>
    </row>
    <row r="203" spans="3:7" x14ac:dyDescent="0.2">
      <c r="C203" s="3">
        <v>200</v>
      </c>
      <c r="D203" s="37">
        <f t="shared" si="5"/>
        <v>0</v>
      </c>
    </row>
    <row r="204" spans="3:7" x14ac:dyDescent="0.2">
      <c r="C204" s="3">
        <v>201</v>
      </c>
      <c r="D204" s="37">
        <f t="shared" si="5"/>
        <v>0</v>
      </c>
    </row>
    <row r="205" spans="3:7" x14ac:dyDescent="0.2">
      <c r="C205" s="3">
        <v>202</v>
      </c>
      <c r="D205" s="37">
        <f t="shared" si="5"/>
        <v>0</v>
      </c>
    </row>
    <row r="206" spans="3:7" x14ac:dyDescent="0.2">
      <c r="C206" s="3">
        <v>203</v>
      </c>
      <c r="D206" s="37">
        <f t="shared" si="5"/>
        <v>0</v>
      </c>
    </row>
    <row r="207" spans="3:7" x14ac:dyDescent="0.2">
      <c r="C207" s="3">
        <v>204</v>
      </c>
      <c r="D207" s="37">
        <f t="shared" si="5"/>
        <v>0</v>
      </c>
    </row>
    <row r="208" spans="3:7" x14ac:dyDescent="0.2">
      <c r="C208" s="3">
        <v>205</v>
      </c>
      <c r="D208" s="37">
        <f t="shared" si="5"/>
        <v>0</v>
      </c>
    </row>
  </sheetData>
  <sortState xmlns:xlrd2="http://schemas.microsoft.com/office/spreadsheetml/2017/richdata2" ref="E77:G123">
    <sortCondition ref="E77:E123"/>
  </sortState>
  <phoneticPr fontId="1" type="noConversion"/>
  <conditionalFormatting sqref="E4:E169">
    <cfRule type="duplicateValues" dxfId="1" priority="2"/>
  </conditionalFormatting>
  <conditionalFormatting sqref="E4:E208">
    <cfRule type="containsText" dxfId="0" priority="1" operator="containsText" text="Kommentar">
      <formula>NOT(ISERROR(SEARCH("Kommentar",E4)))</formula>
    </cfRule>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SKCW24DMUQ4M-227545371-576855</_dlc_DocId>
    <_dlc_DocIdUrl xmlns="19415a2c-3045-4769-8042-b2d573daa356">
      <Url>https://mst239701.sharepoint.com/sites/Files/_layouts/15/DocIdRedir.aspx?ID=SKCW24DMUQ4M-227545371-576855</Url>
      <Description>SKCW24DMUQ4M-227545371-576855</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5B891ED-4BA4-445D-B313-E9A06AB315D0}">
  <ds:schemaRefs>
    <ds:schemaRef ds:uri="http://schemas.microsoft.com/sharepoint/v3/contenttype/forms"/>
  </ds:schemaRefs>
</ds:datastoreItem>
</file>

<file path=customXml/itemProps2.xml><?xml version="1.0" encoding="utf-8"?>
<ds:datastoreItem xmlns:ds="http://schemas.openxmlformats.org/officeDocument/2006/customXml" ds:itemID="{E5EAE3B4-0357-4018-9548-49DE34D38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3AD181-83D6-4E9A-B33D-B06802756F46}">
  <ds:schemaRefs>
    <ds:schemaRef ds:uri="f9ded8a6-640d-4e2b-81aa-3f415abfbf2d"/>
    <ds:schemaRef ds:uri="http://purl.org/dc/elements/1.1/"/>
    <ds:schemaRef ds:uri="http://schemas.microsoft.com/office/2006/documentManagement/types"/>
    <ds:schemaRef ds:uri="http://purl.org/dc/dcmitype/"/>
    <ds:schemaRef ds:uri="19415a2c-3045-4769-8042-b2d573daa356"/>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7D0936FA-4882-44C2-802C-C74878377CB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38</vt:i4>
      </vt:variant>
    </vt:vector>
  </HeadingPairs>
  <TitlesOfParts>
    <vt:vector size="43" baseType="lpstr">
      <vt:lpstr>Anleitung</vt:lpstr>
      <vt:lpstr>Eingabe</vt:lpstr>
      <vt:lpstr>Uebersicht</vt:lpstr>
      <vt:lpstr>Listen</vt:lpstr>
      <vt:lpstr>Uebersetzung</vt:lpstr>
      <vt:lpstr>AusnahmeAreal</vt:lpstr>
      <vt:lpstr>BauvorhabenAreal</vt:lpstr>
      <vt:lpstr>BestAusnahme</vt:lpstr>
      <vt:lpstr>Anleitung!Druckbereich</vt:lpstr>
      <vt:lpstr>Eingabe!Druckbereich</vt:lpstr>
      <vt:lpstr>Uebersicht!Druckbereich</vt:lpstr>
      <vt:lpstr>Eingabe!Drucktitel</vt:lpstr>
      <vt:lpstr>EBFAreal</vt:lpstr>
      <vt:lpstr>EBFRückbau</vt:lpstr>
      <vt:lpstr>GEAK_SNBS</vt:lpstr>
      <vt:lpstr>KompensationJa</vt:lpstr>
      <vt:lpstr>KompensationNein</vt:lpstr>
      <vt:lpstr>Leistung_Solar</vt:lpstr>
      <vt:lpstr>LST_Leer</vt:lpstr>
      <vt:lpstr>LST_PV_Zulässigkeit</vt:lpstr>
      <vt:lpstr>LSTArt</vt:lpstr>
      <vt:lpstr>LSTAusnahme</vt:lpstr>
      <vt:lpstr>LSTGebKat</vt:lpstr>
      <vt:lpstr>LSTKompensation</vt:lpstr>
      <vt:lpstr>LSTMinStandard</vt:lpstr>
      <vt:lpstr>LSTNeubau</vt:lpstr>
      <vt:lpstr>LSTWärme</vt:lpstr>
      <vt:lpstr>Minergie</vt:lpstr>
      <vt:lpstr>MinergieA</vt:lpstr>
      <vt:lpstr>MinergieAEco</vt:lpstr>
      <vt:lpstr>MinergieEco</vt:lpstr>
      <vt:lpstr>MinergieP</vt:lpstr>
      <vt:lpstr>MinergiePEco</vt:lpstr>
      <vt:lpstr>MinergieZert</vt:lpstr>
      <vt:lpstr>Neubau_Erneuerung</vt:lpstr>
      <vt:lpstr>NeubauJa</vt:lpstr>
      <vt:lpstr>NeubauNein</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2023-08-04T13:08:37Z</cp:lastPrinted>
  <dcterms:created xsi:type="dcterms:W3CDTF">2023-01-31T17:23:31Z</dcterms:created>
  <dcterms:modified xsi:type="dcterms:W3CDTF">2023-09-11T06:58:33Z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6155f650-fad0-4cea-9444-7052c64d6dfe</vt:lpwstr>
  </property>
  <property fmtid="{D5CDD505-2E9C-101B-9397-08002B2CF9AE}" pid="4" name="MediaServiceImageTags">
    <vt:lpwstr/>
  </property>
</Properties>
</file>