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5_Minergie-Areal/04_Hilfstools_Vorlagen/01_Gültig/"/>
    </mc:Choice>
  </mc:AlternateContent>
  <xr:revisionPtr revIDLastSave="18" documentId="8_{50A0CABA-1CE3-4B5D-B9DD-8BF5203FAFDA}" xr6:coauthVersionLast="47" xr6:coauthVersionMax="47" xr10:uidLastSave="{B1CA941D-E4D8-4FF5-B45A-666EAF301208}"/>
  <workbookProtection workbookAlgorithmName="SHA-512" workbookHashValue="LKZHH9NTfrbQqHYK9gjVu5gU0VYeAcOgeyIzY7cR+MMUVw1KN35fs77l384jG949iR2yTBmlup3T+0h6KwypSA==" workbookSaltValue="qoCgvfJal6YG786PQui+7Q==" workbookSpinCount="100000" lockStructure="1"/>
  <bookViews>
    <workbookView xWindow="-120" yWindow="-120" windowWidth="38640" windowHeight="21240" xr2:uid="{168632F1-B688-42B1-B4E2-4B78CD311409}"/>
  </bookViews>
  <sheets>
    <sheet name="Eingabe" sheetId="1" r:id="rId1"/>
    <sheet name="Uebersicht" sheetId="4" r:id="rId2"/>
    <sheet name="Uebersetzungen" sheetId="3" state="hidden" r:id="rId3"/>
  </sheets>
  <definedNames>
    <definedName name="_xlnm.Print_Area" localSheetId="0">Eingabe!$B$1:$F$74</definedName>
    <definedName name="_xlnm.Print_Area" localSheetId="1">Uebersicht!$B$1:$G$8</definedName>
    <definedName name="LST_Abstellplätz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71" i="1"/>
  <c r="E68" i="1"/>
  <c r="E53" i="1"/>
  <c r="F53" i="1"/>
  <c r="E52" i="1"/>
  <c r="F52" i="1"/>
  <c r="E51" i="1"/>
  <c r="F51" i="1"/>
  <c r="E50" i="1"/>
  <c r="F50" i="1"/>
  <c r="D6" i="4"/>
  <c r="D8" i="4"/>
  <c r="D7" i="4"/>
  <c r="E65" i="1"/>
  <c r="E64" i="1"/>
  <c r="D10" i="4" l="1"/>
  <c r="D74" i="1"/>
  <c r="F67" i="1"/>
  <c r="E67" i="1" s="1"/>
  <c r="F72" i="1"/>
  <c r="F66" i="1"/>
  <c r="D54" i="1"/>
  <c r="F36" i="1"/>
  <c r="F38" i="1"/>
  <c r="F27" i="1"/>
  <c r="E27" i="1" s="1"/>
  <c r="D40" i="1"/>
  <c r="D29" i="1"/>
  <c r="E66" i="1" l="1"/>
  <c r="F39" i="1"/>
  <c r="E39" i="1" s="1"/>
  <c r="E38" i="1"/>
  <c r="F37" i="1"/>
  <c r="E37" i="1" s="1"/>
  <c r="E36" i="1"/>
  <c r="E54" i="1"/>
  <c r="F28" i="1"/>
  <c r="E28" i="1" s="1"/>
  <c r="E74" i="1" l="1"/>
  <c r="E40" i="1"/>
  <c r="D18" i="1"/>
  <c r="F25" i="1" l="1"/>
  <c r="F16" i="1"/>
  <c r="E16" i="1" s="1"/>
  <c r="F7" i="4" s="1"/>
  <c r="F14" i="1"/>
  <c r="E14" i="1" s="1"/>
  <c r="G7" i="4" l="1"/>
  <c r="F26" i="1"/>
  <c r="E26" i="1" s="1"/>
  <c r="E25" i="1"/>
  <c r="E29" i="1" s="1"/>
  <c r="F15" i="1"/>
  <c r="E15" i="1" s="1"/>
  <c r="F6" i="4" l="1"/>
  <c r="F17" i="1"/>
  <c r="E17" i="1" s="1"/>
  <c r="F8" i="4" s="1"/>
  <c r="G8" i="4" s="1"/>
  <c r="H3" i="3"/>
  <c r="H2" i="3"/>
  <c r="A1" i="3" s="1"/>
  <c r="H1" i="3"/>
  <c r="D155" i="3" l="1"/>
  <c r="D41" i="3"/>
  <c r="B42" i="1" s="1"/>
  <c r="G6" i="4"/>
  <c r="F10" i="4"/>
  <c r="G10" i="4" s="1"/>
  <c r="E18" i="1"/>
  <c r="D140" i="3"/>
  <c r="D34" i="3"/>
  <c r="D12" i="3"/>
  <c r="D35" i="3"/>
  <c r="D58" i="3"/>
  <c r="D76" i="3"/>
  <c r="D99" i="3"/>
  <c r="D122" i="3"/>
  <c r="D147" i="3"/>
  <c r="D52" i="3"/>
  <c r="B77" i="1" s="1"/>
  <c r="D100" i="3"/>
  <c r="D148" i="3"/>
  <c r="D75" i="3"/>
  <c r="D18" i="3"/>
  <c r="D59" i="3"/>
  <c r="D19" i="3"/>
  <c r="B7" i="1" s="1"/>
  <c r="D60" i="3"/>
  <c r="D106" i="3"/>
  <c r="D124" i="3"/>
  <c r="D178" i="3"/>
  <c r="D170" i="3"/>
  <c r="D162" i="3"/>
  <c r="D154" i="3"/>
  <c r="D146" i="3"/>
  <c r="D138" i="3"/>
  <c r="D177" i="3"/>
  <c r="D169" i="3"/>
  <c r="D161" i="3"/>
  <c r="D153" i="3"/>
  <c r="D145" i="3"/>
  <c r="D137" i="3"/>
  <c r="D129" i="3"/>
  <c r="D121" i="3"/>
  <c r="D113" i="3"/>
  <c r="D105" i="3"/>
  <c r="D97" i="3"/>
  <c r="D89" i="3"/>
  <c r="D81" i="3"/>
  <c r="D73" i="3"/>
  <c r="D65" i="3"/>
  <c r="D57" i="3"/>
  <c r="D49" i="3"/>
  <c r="D33" i="3"/>
  <c r="D25" i="3"/>
  <c r="B10" i="4" s="1"/>
  <c r="D17" i="3"/>
  <c r="C2" i="4" s="1"/>
  <c r="D9" i="3"/>
  <c r="D167" i="3"/>
  <c r="D159" i="3"/>
  <c r="D151" i="3"/>
  <c r="D143" i="3"/>
  <c r="D135" i="3"/>
  <c r="D127" i="3"/>
  <c r="D119" i="3"/>
  <c r="D111" i="3"/>
  <c r="D103" i="3"/>
  <c r="D95" i="3"/>
  <c r="D87" i="3"/>
  <c r="D79" i="3"/>
  <c r="D71" i="3"/>
  <c r="D63" i="3"/>
  <c r="D55" i="3"/>
  <c r="D47" i="3"/>
  <c r="D39" i="3"/>
  <c r="D31" i="3"/>
  <c r="D23" i="3"/>
  <c r="B8" i="4" s="1"/>
  <c r="D15" i="3"/>
  <c r="D7" i="3"/>
  <c r="B3" i="1" s="1"/>
  <c r="D166" i="3"/>
  <c r="D158" i="3"/>
  <c r="D150" i="3"/>
  <c r="D142" i="3"/>
  <c r="D134" i="3"/>
  <c r="D126" i="3"/>
  <c r="D118" i="3"/>
  <c r="D110" i="3"/>
  <c r="D102" i="3"/>
  <c r="D94" i="3"/>
  <c r="D86" i="3"/>
  <c r="D78" i="3"/>
  <c r="D70" i="3"/>
  <c r="D62" i="3"/>
  <c r="D54" i="3"/>
  <c r="D46" i="3"/>
  <c r="B47" i="1" s="1"/>
  <c r="D38" i="3"/>
  <c r="D30" i="3"/>
  <c r="B31" i="1" s="1"/>
  <c r="D22" i="3"/>
  <c r="B14" i="1" s="1"/>
  <c r="D14" i="3"/>
  <c r="D6" i="3"/>
  <c r="D165" i="3"/>
  <c r="D157" i="3"/>
  <c r="D149" i="3"/>
  <c r="D141" i="3"/>
  <c r="D133" i="3"/>
  <c r="D125" i="3"/>
  <c r="D117" i="3"/>
  <c r="D109" i="3"/>
  <c r="D101" i="3"/>
  <c r="D93" i="3"/>
  <c r="D85" i="3"/>
  <c r="D77" i="3"/>
  <c r="D69" i="3"/>
  <c r="D61" i="3"/>
  <c r="D53" i="3"/>
  <c r="D45" i="3"/>
  <c r="D37" i="3"/>
  <c r="B56" i="1" s="1"/>
  <c r="D29" i="3"/>
  <c r="D21" i="3"/>
  <c r="B11" i="1" s="1"/>
  <c r="D13" i="3"/>
  <c r="D5" i="3"/>
  <c r="D176" i="3"/>
  <c r="D168" i="3"/>
  <c r="D160" i="3"/>
  <c r="D152" i="3"/>
  <c r="D144" i="3"/>
  <c r="D136" i="3"/>
  <c r="D128" i="3"/>
  <c r="D120" i="3"/>
  <c r="D112" i="3"/>
  <c r="D104" i="3"/>
  <c r="D96" i="3"/>
  <c r="D88" i="3"/>
  <c r="D80" i="3"/>
  <c r="D72" i="3"/>
  <c r="D64" i="3"/>
  <c r="D56" i="3"/>
  <c r="D48" i="3"/>
  <c r="D40" i="3"/>
  <c r="D32" i="3"/>
  <c r="D5" i="4" s="1"/>
  <c r="D24" i="3"/>
  <c r="B7" i="4" s="1"/>
  <c r="D16" i="3"/>
  <c r="G5" i="4" s="1"/>
  <c r="D8" i="3"/>
  <c r="B5" i="1" s="1"/>
  <c r="D175" i="3"/>
  <c r="D174" i="3"/>
  <c r="D173" i="3"/>
  <c r="D172" i="3"/>
  <c r="D20" i="3"/>
  <c r="B9" i="1" s="1"/>
  <c r="D43" i="3"/>
  <c r="D66" i="3"/>
  <c r="D84" i="3"/>
  <c r="D107" i="3"/>
  <c r="D130" i="3"/>
  <c r="D156" i="3"/>
  <c r="D26" i="3"/>
  <c r="B20" i="1" s="1"/>
  <c r="D44" i="3"/>
  <c r="D67" i="3"/>
  <c r="D90" i="3"/>
  <c r="D108" i="3"/>
  <c r="D131" i="3"/>
  <c r="D163" i="3"/>
  <c r="D98" i="3"/>
  <c r="D36" i="3"/>
  <c r="C1" i="1" s="1"/>
  <c r="D82" i="3"/>
  <c r="D83" i="3"/>
  <c r="D4" i="3"/>
  <c r="D27" i="3"/>
  <c r="D50" i="3"/>
  <c r="D68" i="3"/>
  <c r="D91" i="3"/>
  <c r="D114" i="3"/>
  <c r="D132" i="3"/>
  <c r="D164" i="3"/>
  <c r="D11" i="3"/>
  <c r="D116" i="3"/>
  <c r="D123" i="3"/>
  <c r="D42" i="3"/>
  <c r="D10" i="3"/>
  <c r="D28" i="3"/>
  <c r="B70" i="1" s="1"/>
  <c r="D51" i="3"/>
  <c r="B63" i="1" s="1"/>
  <c r="D74" i="3"/>
  <c r="D92" i="3"/>
  <c r="D115" i="3"/>
  <c r="D139" i="3"/>
  <c r="D171" i="3"/>
  <c r="F49" i="1" l="1"/>
  <c r="E5" i="4"/>
  <c r="B60" i="1"/>
  <c r="B59" i="1"/>
  <c r="B58" i="1"/>
  <c r="B4" i="4"/>
  <c r="B6" i="1"/>
  <c r="B78" i="1"/>
  <c r="B9" i="4"/>
  <c r="B79" i="1"/>
  <c r="B8" i="1"/>
  <c r="B5" i="4"/>
  <c r="C79" i="1"/>
  <c r="C78" i="1"/>
  <c r="B74" i="1"/>
  <c r="D70" i="1"/>
  <c r="C65" i="1"/>
  <c r="C66" i="1"/>
  <c r="C67" i="1"/>
  <c r="C64" i="1"/>
  <c r="C68" i="1"/>
  <c r="C74" i="1"/>
  <c r="C72" i="1"/>
  <c r="B6" i="4"/>
  <c r="B66" i="1"/>
  <c r="B71" i="1"/>
  <c r="F70" i="1"/>
  <c r="E70" i="1"/>
  <c r="B65" i="1"/>
  <c r="B67" i="1"/>
  <c r="B64" i="1"/>
  <c r="B72" i="1"/>
  <c r="B68" i="1"/>
  <c r="B44" i="1"/>
  <c r="C11" i="1"/>
  <c r="C33" i="1"/>
  <c r="C22" i="1"/>
  <c r="B54" i="1"/>
  <c r="B53" i="1"/>
  <c r="C51" i="1"/>
  <c r="C52" i="1"/>
  <c r="C53" i="1"/>
  <c r="C47" i="1"/>
  <c r="B51" i="1"/>
  <c r="B50" i="1"/>
  <c r="B52" i="1"/>
  <c r="C44" i="1"/>
  <c r="C46" i="1"/>
  <c r="C45" i="1"/>
  <c r="B45" i="1"/>
  <c r="B46" i="1"/>
  <c r="D63" i="1"/>
  <c r="D49" i="1"/>
  <c r="C54" i="1"/>
  <c r="C50" i="1"/>
  <c r="B40" i="1"/>
  <c r="B61" i="1"/>
  <c r="F63" i="1"/>
  <c r="E49" i="1"/>
  <c r="B38" i="1"/>
  <c r="C61" i="1"/>
  <c r="E63" i="1"/>
  <c r="B25" i="1"/>
  <c r="B36" i="1"/>
  <c r="B33" i="1"/>
  <c r="B27" i="1"/>
  <c r="B39" i="1"/>
  <c r="B37" i="1"/>
  <c r="B28" i="1"/>
  <c r="B26" i="1"/>
  <c r="D24" i="1"/>
  <c r="D35" i="1"/>
  <c r="C40" i="1"/>
  <c r="C36" i="1"/>
  <c r="C39" i="1"/>
  <c r="C37" i="1"/>
  <c r="C38" i="1"/>
  <c r="B29" i="1"/>
  <c r="B22" i="1"/>
  <c r="F35" i="1"/>
  <c r="F24" i="1"/>
  <c r="E35" i="1"/>
  <c r="D13" i="1"/>
  <c r="B18" i="1"/>
  <c r="E24" i="1"/>
  <c r="F13" i="1"/>
  <c r="E13" i="1"/>
  <c r="C29" i="1"/>
  <c r="C17" i="1"/>
  <c r="C28" i="1"/>
  <c r="C18" i="1"/>
  <c r="C27" i="1"/>
  <c r="C14" i="1"/>
  <c r="C25" i="1"/>
  <c r="C15" i="1"/>
  <c r="C16" i="1"/>
  <c r="C26" i="1"/>
  <c r="B16" i="1"/>
  <c r="B17" i="1"/>
  <c r="B15" i="1"/>
  <c r="E1" i="1"/>
  <c r="F2" i="4" s="1"/>
</calcChain>
</file>

<file path=xl/sharedStrings.xml><?xml version="1.0" encoding="utf-8"?>
<sst xmlns="http://schemas.openxmlformats.org/spreadsheetml/2006/main" count="169" uniqueCount="161">
  <si>
    <t>Sprache:</t>
  </si>
  <si>
    <t>deutsch</t>
  </si>
  <si>
    <t>Uebersetzungsliste</t>
  </si>
  <si>
    <t>Minergie-Nachweis: Jahresversion und Jahr</t>
  </si>
  <si>
    <t>Index</t>
  </si>
  <si>
    <t>Auswahl</t>
  </si>
  <si>
    <t>französisch</t>
  </si>
  <si>
    <t>italienisch</t>
  </si>
  <si>
    <t>Auswahlfeld</t>
  </si>
  <si>
    <t>Version</t>
  </si>
  <si>
    <t>Listen</t>
  </si>
  <si>
    <t>Eingabefeld</t>
  </si>
  <si>
    <t>E1.1 Angebot Abstellplätze</t>
  </si>
  <si>
    <t>ja</t>
  </si>
  <si>
    <t>nein</t>
  </si>
  <si>
    <t>Anzahl Abstellplätze im Rahmen der Baubewilligung behördlich festgelegt</t>
  </si>
  <si>
    <t>Total</t>
  </si>
  <si>
    <t>Mitarbeitende</t>
  </si>
  <si>
    <t>Projektwert</t>
  </si>
  <si>
    <t>Erfüllt?</t>
  </si>
  <si>
    <t>Wohnen (Gebäudekategorien I und II)</t>
  </si>
  <si>
    <t>Besuchende</t>
  </si>
  <si>
    <t>Einkaufen (Gebäudekategorie V)</t>
  </si>
  <si>
    <t>Verkaufsfläche</t>
  </si>
  <si>
    <t>Anforderung</t>
  </si>
  <si>
    <t>Total Abstellplätze</t>
  </si>
  <si>
    <t>davon für Spezialfahrzeuge</t>
  </si>
  <si>
    <t>Anzahl</t>
  </si>
  <si>
    <t>Kurzzeitabstellplätze</t>
  </si>
  <si>
    <t>[PP/Zimmer]</t>
  </si>
  <si>
    <t>[PP/10 Arbeitsplätze]</t>
  </si>
  <si>
    <t>Eingabe</t>
  </si>
  <si>
    <r>
      <t>m</t>
    </r>
    <r>
      <rPr>
        <vertAlign val="superscript"/>
        <sz val="11"/>
        <color theme="1"/>
        <rFont val="Arial"/>
        <family val="2"/>
      </rPr>
      <t>2</t>
    </r>
  </si>
  <si>
    <t>Überdachte Abstellplätze</t>
  </si>
  <si>
    <t>[PP/100 m2 Verkaufsfläche]</t>
  </si>
  <si>
    <t>Kundschaft</t>
  </si>
  <si>
    <t>Schulen (Gebäudekategorie IV)</t>
  </si>
  <si>
    <t>Unterstufe</t>
  </si>
  <si>
    <t>Mittel-/Oberstufe</t>
  </si>
  <si>
    <t>Lehrkräfte</t>
  </si>
  <si>
    <t>Schüler</t>
  </si>
  <si>
    <t>Zimmer</t>
  </si>
  <si>
    <t>Arbeitsplätze</t>
  </si>
  <si>
    <t>Übersicht</t>
  </si>
  <si>
    <t>≥</t>
  </si>
  <si>
    <t>Geschäfte des täglichen Bedarfs</t>
  </si>
  <si>
    <t>Einkaufszentren</t>
  </si>
  <si>
    <t>Sonstige Geschäfte</t>
  </si>
  <si>
    <t>Hilfstool E_Mobilität</t>
  </si>
  <si>
    <t>Berechnung des Angebots an Abstellplätzen</t>
  </si>
  <si>
    <t>Gymnasien, Berufsschulen, (Fach-) Hochschulen</t>
  </si>
  <si>
    <t>NEUBAUTEN</t>
  </si>
  <si>
    <t>ERNEUERUNGEN UND BESTANDESBAUTEN</t>
  </si>
  <si>
    <t>Bedarf gemäss Zählung</t>
  </si>
  <si>
    <t>Abstellplätze</t>
  </si>
  <si>
    <t>ALLE</t>
  </si>
  <si>
    <t>Die nachfolgende Bedarfsberechnung gilt für Neubauten. Für Bestandesbauten und Erneuerungen ist die Bedarfsermittlung gemäss Handbuch "Veloparkierung", ASTRA vorzunehmen und in Zeile 78 zu erfassen.</t>
  </si>
  <si>
    <t>Dienstleistungsbetriebe mit wenig Besucherverkehr und Gewerbe und Industrie (Gebäudekategorien III und IX)</t>
  </si>
  <si>
    <t>Kundenintensive Dienstleistungsbetriebe (Gebäudekategorie III)</t>
  </si>
  <si>
    <t>Langzeitabstellplätze</t>
  </si>
  <si>
    <t>Strumento di verifica E_Mobilità</t>
  </si>
  <si>
    <t>Versione</t>
  </si>
  <si>
    <t>Liste</t>
  </si>
  <si>
    <t>Campo di imput</t>
  </si>
  <si>
    <t>Campo di selezione</t>
  </si>
  <si>
    <t>Calcolo dell'offerta di parcheggi</t>
  </si>
  <si>
    <t>E1.1 Offerta di parcheggi</t>
  </si>
  <si>
    <t>TUTTO</t>
  </si>
  <si>
    <t>sì</t>
  </si>
  <si>
    <t>no</t>
  </si>
  <si>
    <t>Soddisfatto?</t>
  </si>
  <si>
    <t>Panoramica</t>
  </si>
  <si>
    <t>Abitazioni (categorie di edificio I e II)</t>
  </si>
  <si>
    <t>Parcheggi a sosta lunga</t>
  </si>
  <si>
    <t>di cui per veicoli speciali</t>
  </si>
  <si>
    <t>Parcheggi a sosta breve</t>
  </si>
  <si>
    <t>Totale parcheggi</t>
  </si>
  <si>
    <t>Aziende di servizi ad alta intensità di clientela (categoria di edificio III)</t>
  </si>
  <si>
    <t>Posti di lavoro</t>
  </si>
  <si>
    <t>Collaboratori</t>
  </si>
  <si>
    <t>Visitatori</t>
  </si>
  <si>
    <t>Aziende di servizi con basso traffico di visitatori e commerci e industrie (categorie di edificio III e IX)</t>
  </si>
  <si>
    <t>Numero</t>
  </si>
  <si>
    <t xml:space="preserve">Valore di progetto </t>
  </si>
  <si>
    <t>Requisito</t>
  </si>
  <si>
    <t>Negozi (categoria di edificio V)</t>
  </si>
  <si>
    <t>Superficie di vendita</t>
  </si>
  <si>
    <t>Superficie di parcheggio coperta</t>
  </si>
  <si>
    <t>Scuole (categoria di edificio IV)</t>
  </si>
  <si>
    <t>Studenti</t>
  </si>
  <si>
    <t>Classi inferiori</t>
  </si>
  <si>
    <t>Classi medie / superiori</t>
  </si>
  <si>
    <t>Insegnanti</t>
  </si>
  <si>
    <t>Totale</t>
  </si>
  <si>
    <t>Negozi di beni di prima necessità</t>
  </si>
  <si>
    <t>Altri negozi</t>
  </si>
  <si>
    <t>Centri commerciali</t>
  </si>
  <si>
    <t>Clienti</t>
  </si>
  <si>
    <t>NUOVE COSTRUZIONI</t>
  </si>
  <si>
    <t>Parcheggi</t>
  </si>
  <si>
    <t>Fabbisogno secondo conteggio</t>
  </si>
  <si>
    <t>Numero di parcheggi fissato dalle autorità per la licenza edilizia</t>
  </si>
  <si>
    <t>Locale</t>
  </si>
  <si>
    <t>[parcheggi/locale]</t>
  </si>
  <si>
    <t>[parcheggi/10 posti di lavoro]</t>
  </si>
  <si>
    <t>Input</t>
  </si>
  <si>
    <t>[prcheggi/100 m2 superficie di vendita]</t>
  </si>
  <si>
    <t>Licei, scuole professionali, scuole superiori (professionali)</t>
  </si>
  <si>
    <t>Outil d'aide E_Mobilité</t>
  </si>
  <si>
    <t>Listes</t>
  </si>
  <si>
    <t>Champ de saisie</t>
  </si>
  <si>
    <t>Champ de sélection</t>
  </si>
  <si>
    <t>Calcul de l'offre de places de stationnement pour vélos</t>
  </si>
  <si>
    <t>E1.1 Offre de places de stationnement pour vélos</t>
  </si>
  <si>
    <t>TOUTES</t>
  </si>
  <si>
    <t>oui</t>
  </si>
  <si>
    <t>non</t>
  </si>
  <si>
    <t>Nombre de places de stationnement pour vélos défini par les autorités dans le cadre du permis de construire.</t>
  </si>
  <si>
    <t>Respecté ?</t>
  </si>
  <si>
    <t>Vue d'ensemble</t>
  </si>
  <si>
    <t>Le calcul des besoins ci-dessous s'applique aux nouvelles constructions. Pour les bâtiments existants et les rénovations, le calcul des besoins doit être effectué conformément au guide "Stationnement des vélos", OFROU, et saisi à la ligne 78.</t>
  </si>
  <si>
    <t>Il seguente calcolo del fabbisogno è valido per le nuove costruzioni. Per gli edifici esistenti e i risanamenti si considera il valore medio di fabbisogno secondo il manuale "Posteggi per cicli" pubblicato da USTRA e va inserito alla riga 78.</t>
  </si>
  <si>
    <t>Habitat (catégories de bâtiments I et II)</t>
  </si>
  <si>
    <t>Chambres</t>
  </si>
  <si>
    <t>Places de stationnement de longue durée pour vélos</t>
  </si>
  <si>
    <t>dont pour véhicules spéciaux</t>
  </si>
  <si>
    <t>Places de stationnement de courte durée pour vélos</t>
  </si>
  <si>
    <t>Total des places de stationnement pour vélos</t>
  </si>
  <si>
    <t>Entreprises du tertiaire à forte fréquentation (catégorie de bâtiments III)</t>
  </si>
  <si>
    <t>Postes de travail</t>
  </si>
  <si>
    <t>Collaborateurs</t>
  </si>
  <si>
    <t>Visiteurs</t>
  </si>
  <si>
    <t>Entreprises de services à faible fréquentation, artisanat et industrie (catégories de bâtiments III et IX)</t>
  </si>
  <si>
    <t>Nombre</t>
  </si>
  <si>
    <t>Valeur du projet</t>
  </si>
  <si>
    <t>Exigence</t>
  </si>
  <si>
    <t>[PP/chambre]</t>
  </si>
  <si>
    <t>[PP/10 postes de travail]</t>
  </si>
  <si>
    <t>Entrée</t>
  </si>
  <si>
    <t>Commerce (catégorie de bâtiment V)</t>
  </si>
  <si>
    <t>Surface commerciale</t>
  </si>
  <si>
    <t>Places de parc couvertes</t>
  </si>
  <si>
    <t>[PP/100 m2 de surface de vente]</t>
  </si>
  <si>
    <t>École (catégorie de bâtiments IV)</t>
  </si>
  <si>
    <t>Élèves</t>
  </si>
  <si>
    <t>Niveau inférieur</t>
  </si>
  <si>
    <t>Niveau moyen/supérieur</t>
  </si>
  <si>
    <t>Gymnase, école professionnelle, haute école (spécialisée)</t>
  </si>
  <si>
    <t>Enseignants</t>
  </si>
  <si>
    <t>Commerces de consommation courante</t>
  </si>
  <si>
    <t>Autres commerces</t>
  </si>
  <si>
    <t>Centres commerciaux</t>
  </si>
  <si>
    <t>Clientèle</t>
  </si>
  <si>
    <t>RÉNOVATIONS ET CONSTRUCTIONS EXISTANTES</t>
  </si>
  <si>
    <t>RISANAMENTI E EDIFICI ESISTENTI</t>
  </si>
  <si>
    <t>NOUVELLES CONSTRUCTIONS</t>
  </si>
  <si>
    <t>Places de parc</t>
  </si>
  <si>
    <t>Besoin selon le recensement</t>
  </si>
  <si>
    <t>[PP/10 Schüler, Lehrkräfte]</t>
  </si>
  <si>
    <t>[PP/10 élèves, enseignants]</t>
  </si>
  <si>
    <t>[PP/10 studenti, insegnanti]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</si>
</sst>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sz val="8"/>
      <name val="Calibri"/>
      <family val="2"/>
      <scheme val="minor"/>
    </font>
    <font>
      <vertAlign val="superscript"/>
      <sz val="11"/>
      <color theme="1"/>
      <name val="Arial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EFFDD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4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wrapText="1"/>
    </xf>
    <xf numFmtId="164" fontId="3" fillId="0" borderId="0" xfId="1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2" fillId="5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9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4" borderId="0" xfId="0" applyFont="1" applyFill="1" applyAlignment="1">
      <alignment horizontal="center" vertical="center"/>
    </xf>
    <xf numFmtId="0" fontId="3" fillId="4" borderId="0" xfId="0" applyFont="1" applyFill="1"/>
    <xf numFmtId="0" fontId="3" fillId="0" borderId="0" xfId="0" applyFont="1"/>
    <xf numFmtId="0" fontId="2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/>
    <xf numFmtId="0" fontId="2" fillId="4" borderId="0" xfId="0" applyFon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5" fillId="10" borderId="30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11" fillId="0" borderId="30" xfId="0" applyFont="1" applyBorder="1"/>
    <xf numFmtId="0" fontId="11" fillId="0" borderId="19" xfId="0" applyFont="1" applyBorder="1" applyAlignment="1">
      <alignment horizontal="center"/>
    </xf>
    <xf numFmtId="0" fontId="4" fillId="0" borderId="2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2" fontId="5" fillId="0" borderId="23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3" fontId="4" fillId="0" borderId="18" xfId="2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" fontId="4" fillId="0" borderId="27" xfId="2" applyNumberFormat="1" applyFont="1" applyBorder="1" applyAlignment="1">
      <alignment horizontal="center" vertical="center"/>
    </xf>
    <xf numFmtId="3" fontId="6" fillId="5" borderId="7" xfId="0" applyNumberFormat="1" applyFont="1" applyFill="1" applyBorder="1" applyAlignment="1" applyProtection="1">
      <alignment horizontal="center" vertical="center"/>
      <protection locked="0"/>
    </xf>
    <xf numFmtId="3" fontId="6" fillId="0" borderId="3" xfId="0" applyNumberFormat="1" applyFont="1" applyBorder="1" applyAlignment="1">
      <alignment horizontal="center" vertical="center"/>
    </xf>
    <xf numFmtId="3" fontId="6" fillId="5" borderId="3" xfId="0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Alignment="1">
      <alignment horizontal="center" vertical="center"/>
    </xf>
    <xf numFmtId="0" fontId="6" fillId="10" borderId="14" xfId="0" applyFont="1" applyFill="1" applyBorder="1" applyAlignment="1">
      <alignment vertical="center"/>
    </xf>
    <xf numFmtId="0" fontId="6" fillId="10" borderId="15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3" fontId="6" fillId="5" borderId="7" xfId="0" applyNumberFormat="1" applyFont="1" applyFill="1" applyBorder="1" applyAlignment="1" applyProtection="1">
      <alignment vertical="center"/>
      <protection locked="0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25" xfId="0" applyFont="1" applyBorder="1" applyAlignment="1">
      <alignment vertical="center" wrapText="1"/>
    </xf>
    <xf numFmtId="0" fontId="6" fillId="0" borderId="3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" fontId="6" fillId="5" borderId="20" xfId="0" applyNumberFormat="1" applyFont="1" applyFill="1" applyBorder="1" applyAlignment="1" applyProtection="1">
      <alignment horizontal="center" vertical="center"/>
      <protection locked="0"/>
    </xf>
    <xf numFmtId="3" fontId="4" fillId="0" borderId="11" xfId="2" applyNumberFormat="1" applyFont="1" applyBorder="1" applyAlignment="1">
      <alignment horizontal="center" vertical="center"/>
    </xf>
    <xf numFmtId="165" fontId="2" fillId="0" borderId="34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 wrapText="1"/>
    </xf>
    <xf numFmtId="0" fontId="11" fillId="0" borderId="25" xfId="0" applyFont="1" applyBorder="1"/>
    <xf numFmtId="0" fontId="4" fillId="0" borderId="25" xfId="0" applyFont="1" applyBorder="1" applyAlignment="1">
      <alignment horizontal="left" vertical="center" wrapText="1" indent="1"/>
    </xf>
    <xf numFmtId="3" fontId="6" fillId="5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left" vertical="center" indent="1"/>
    </xf>
    <xf numFmtId="0" fontId="5" fillId="0" borderId="9" xfId="0" applyFont="1" applyBorder="1" applyAlignment="1">
      <alignment vertical="center" wrapText="1"/>
    </xf>
    <xf numFmtId="0" fontId="4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 wrapText="1"/>
    </xf>
    <xf numFmtId="3" fontId="4" fillId="0" borderId="3" xfId="2" applyNumberFormat="1" applyFont="1" applyBorder="1" applyAlignment="1">
      <alignment horizontal="center" vertical="center"/>
    </xf>
    <xf numFmtId="3" fontId="4" fillId="0" borderId="16" xfId="2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2">
    <dxf>
      <font>
        <color rgb="FFFF0000"/>
      </font>
      <fill>
        <patternFill>
          <bgColor rgb="FFFFB7B7"/>
        </patternFill>
      </fill>
    </dxf>
    <dxf>
      <font>
        <color rgb="FF00B050"/>
      </font>
      <fill>
        <patternFill>
          <bgColor rgb="FF8CF866"/>
        </patternFill>
      </fill>
    </dxf>
  </dxfs>
  <tableStyles count="0" defaultTableStyle="TableStyleMedium2" defaultPivotStyle="PivotStyleLight16"/>
  <colors>
    <mruColors>
      <color rgb="FF8CF866"/>
      <color rgb="FF00B050"/>
      <color rgb="FFFFB7B7"/>
      <color rgb="FFEEFFDD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162791</xdr:colOff>
      <xdr:row>0</xdr:row>
      <xdr:rowOff>184988</xdr:rowOff>
    </xdr:from>
    <xdr:to>
      <xdr:col>1</xdr:col>
      <xdr:colOff>2682791</xdr:colOff>
      <xdr:row>0</xdr:row>
      <xdr:rowOff>512967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35A927-902D-4729-B8FC-D41E8C3AB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5191" y="184988"/>
          <a:ext cx="2520000" cy="327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149087</xdr:colOff>
      <xdr:row>1</xdr:row>
      <xdr:rowOff>171174</xdr:rowOff>
    </xdr:from>
    <xdr:to>
      <xdr:col>1</xdr:col>
      <xdr:colOff>2669087</xdr:colOff>
      <xdr:row>1</xdr:row>
      <xdr:rowOff>499153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F978F91-C5A8-4DD7-A612-C15060668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1739" y="314739"/>
          <a:ext cx="2520000" cy="327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93E99-2AEB-430F-86AA-9A92BC1063F9}">
  <dimension ref="B1:AF79"/>
  <sheetViews>
    <sheetView showGridLines="0" tabSelected="1" zoomScaleNormal="100" zoomScalePageLayoutView="70" workbookViewId="0">
      <selection activeCell="D78" sqref="D78"/>
    </sheetView>
  </sheetViews>
  <sheetFormatPr baseColWidth="10" defaultColWidth="11.42578125" defaultRowHeight="14.25" x14ac:dyDescent="0.2"/>
  <cols>
    <col min="1" max="1" width="2.140625" style="29" customWidth="1"/>
    <col min="2" max="2" width="54.85546875" style="29" customWidth="1"/>
    <col min="3" max="3" width="10.5703125" style="29" customWidth="1"/>
    <col min="4" max="5" width="21.28515625" style="29" customWidth="1"/>
    <col min="6" max="6" width="22.7109375" style="29" customWidth="1"/>
    <col min="7" max="7" width="22.42578125" style="29" customWidth="1"/>
    <col min="8" max="16384" width="11.42578125" style="29"/>
  </cols>
  <sheetData>
    <row r="1" spans="2:32" s="9" customFormat="1" ht="54" customHeight="1" x14ac:dyDescent="0.2">
      <c r="B1" s="23"/>
      <c r="C1" s="113" t="str">
        <f>Uebersetzungen!D36</f>
        <v>Entrée</v>
      </c>
      <c r="D1" s="113"/>
      <c r="E1" s="114" t="str">
        <f>Uebersetzungen!$D$4&amp;" "&amp;Uebersetzungen!$D$5&amp;" "&amp;Uebersetzungen!$C$2&amp;"."&amp;Uebersetzungen!$A$2</f>
        <v>Outil d'aide E_Mobilité Version 2023.1</v>
      </c>
      <c r="F1" s="115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4"/>
      <c r="W1" s="25"/>
    </row>
    <row r="2" spans="2:32" s="9" customFormat="1" ht="16.149999999999999" customHeight="1" x14ac:dyDescent="0.2">
      <c r="B2" s="26"/>
      <c r="C2" s="27"/>
      <c r="D2" s="27"/>
      <c r="E2" s="28"/>
      <c r="F2" s="28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4"/>
      <c r="W2" s="25"/>
    </row>
    <row r="3" spans="2:32" s="42" customFormat="1" ht="15" customHeight="1" x14ac:dyDescent="0.2">
      <c r="B3" s="30" t="str">
        <f>Uebersetzungen!$D$7</f>
        <v>Champ de saisie</v>
      </c>
      <c r="D3" s="31"/>
      <c r="F3" s="29"/>
      <c r="G3" s="35"/>
      <c r="H3" s="33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8"/>
      <c r="V3" s="39"/>
      <c r="W3" s="40"/>
      <c r="X3" s="41"/>
      <c r="Y3" s="41"/>
      <c r="Z3" s="41"/>
      <c r="AA3" s="41"/>
      <c r="AB3" s="41"/>
      <c r="AC3" s="41"/>
      <c r="AD3" s="41"/>
      <c r="AE3" s="41"/>
      <c r="AF3" s="41"/>
    </row>
    <row r="4" spans="2:32" s="35" customFormat="1" ht="6" customHeight="1" x14ac:dyDescent="0.2">
      <c r="B4" s="43"/>
      <c r="D4" s="31"/>
      <c r="E4" s="43"/>
      <c r="F4" s="29"/>
      <c r="H4" s="3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8"/>
      <c r="U4" s="38"/>
      <c r="V4" s="44"/>
      <c r="W4" s="45"/>
      <c r="X4" s="46"/>
      <c r="Y4" s="46"/>
      <c r="Z4" s="46"/>
      <c r="AA4" s="46"/>
      <c r="AB4" s="46"/>
      <c r="AC4" s="46"/>
      <c r="AD4" s="46"/>
      <c r="AE4" s="46"/>
      <c r="AF4" s="46"/>
    </row>
    <row r="5" spans="2:32" ht="15" customHeight="1" x14ac:dyDescent="0.2">
      <c r="B5" s="32" t="str">
        <f>Uebersetzungen!$D$8</f>
        <v>Champ de sélection</v>
      </c>
    </row>
    <row r="6" spans="2:32" ht="27.75" customHeight="1" x14ac:dyDescent="0.25">
      <c r="B6" s="47" t="str">
        <f>Uebersetzungen!D9&amp;" ("&amp;Uebersetzungen!D10&amp;")"</f>
        <v>Calcul de l'offre de places de stationnement pour vélos (E1.1 Offre de places de stationnement pour vélos)</v>
      </c>
    </row>
    <row r="7" spans="2:32" ht="38.25" customHeight="1" x14ac:dyDescent="0.2">
      <c r="B7" s="110" t="str">
        <f>Uebersetzungen!D19</f>
        <v>Le calcul des besoins ci-dessous s'applique aux nouvelles constructions. Pour les bâtiments existants et les rénovations, le calcul des besoins doit être effectué conformément au guide "Stationnement des vélos", OFROU, et saisi à la ligne 78.</v>
      </c>
      <c r="C7" s="111"/>
      <c r="D7" s="111"/>
      <c r="E7" s="111"/>
      <c r="F7" s="112"/>
    </row>
    <row r="8" spans="2:32" ht="26.25" customHeight="1" x14ac:dyDescent="0.25">
      <c r="B8" s="47" t="str">
        <f>Uebersetzungen!D53</f>
        <v>NOUVELLES CONSTRUCTIONS</v>
      </c>
    </row>
    <row r="9" spans="2:32" s="48" customFormat="1" ht="15" x14ac:dyDescent="0.25">
      <c r="B9" s="54" t="str">
        <f>Uebersetzungen!D20</f>
        <v>Habitat (catégories de bâtiments I et II)</v>
      </c>
      <c r="C9" s="78"/>
      <c r="D9" s="78"/>
      <c r="E9" s="78"/>
      <c r="F9" s="79"/>
    </row>
    <row r="10" spans="2:32" s="48" customFormat="1" ht="7.5" customHeight="1" x14ac:dyDescent="0.25">
      <c r="B10" s="55"/>
      <c r="F10" s="58"/>
    </row>
    <row r="11" spans="2:32" s="48" customFormat="1" x14ac:dyDescent="0.25">
      <c r="B11" s="57" t="str">
        <f>Uebersetzungen!D21</f>
        <v>Chambres</v>
      </c>
      <c r="C11" s="52" t="str">
        <f>Uebersetzungen!$D$31</f>
        <v>Nombre</v>
      </c>
      <c r="D11" s="74"/>
      <c r="F11" s="58"/>
    </row>
    <row r="12" spans="2:32" s="48" customFormat="1" x14ac:dyDescent="0.25">
      <c r="B12" s="67"/>
      <c r="F12" s="58"/>
    </row>
    <row r="13" spans="2:32" s="48" customFormat="1" ht="30" x14ac:dyDescent="0.25">
      <c r="B13" s="57"/>
      <c r="C13" s="53"/>
      <c r="D13" s="80" t="str">
        <f>Uebersetzungen!$D$32</f>
        <v>Valeur du projet</v>
      </c>
      <c r="E13" s="80" t="str">
        <f>Uebersetzungen!$D$33</f>
        <v>Exigence</v>
      </c>
      <c r="F13" s="51" t="str">
        <f>Uebersetzungen!$D$33&amp;" "&amp;Uebersetzungen!D34</f>
        <v>Exigence [PP/chambre]</v>
      </c>
    </row>
    <row r="14" spans="2:32" s="48" customFormat="1" x14ac:dyDescent="0.25">
      <c r="B14" s="57" t="str">
        <f>Uebersetzungen!D22</f>
        <v>Places de stationnement de longue durée pour vélos</v>
      </c>
      <c r="C14" s="52" t="str">
        <f>Uebersetzungen!$D$31</f>
        <v>Nombre</v>
      </c>
      <c r="D14" s="76"/>
      <c r="E14" s="75">
        <f>$D$11*F14</f>
        <v>0</v>
      </c>
      <c r="F14" s="70">
        <f>70%*1</f>
        <v>0.7</v>
      </c>
    </row>
    <row r="15" spans="2:32" s="48" customFormat="1" x14ac:dyDescent="0.25">
      <c r="B15" s="104" t="str">
        <f>Uebersetzungen!D23</f>
        <v>dont pour véhicules spéciaux</v>
      </c>
      <c r="C15" s="52" t="str">
        <f>Uebersetzungen!$D$31</f>
        <v>Nombre</v>
      </c>
      <c r="D15" s="76"/>
      <c r="E15" s="75">
        <f>$D$11*F15</f>
        <v>0</v>
      </c>
      <c r="F15" s="70">
        <f>20%*F14</f>
        <v>0.13999999999999999</v>
      </c>
    </row>
    <row r="16" spans="2:32" s="48" customFormat="1" x14ac:dyDescent="0.25">
      <c r="B16" s="57" t="str">
        <f>Uebersetzungen!D24</f>
        <v>Places de stationnement de courte durée pour vélos</v>
      </c>
      <c r="C16" s="52" t="str">
        <f>Uebersetzungen!$D$31</f>
        <v>Nombre</v>
      </c>
      <c r="D16" s="76"/>
      <c r="E16" s="75">
        <f>$D$11*F16</f>
        <v>0</v>
      </c>
      <c r="F16" s="70">
        <f>30%*1</f>
        <v>0.3</v>
      </c>
    </row>
    <row r="17" spans="2:6" s="48" customFormat="1" x14ac:dyDescent="0.25">
      <c r="B17" s="104" t="str">
        <f>Uebersetzungen!D23</f>
        <v>dont pour véhicules spéciaux</v>
      </c>
      <c r="C17" s="52" t="str">
        <f>Uebersetzungen!$D$31</f>
        <v>Nombre</v>
      </c>
      <c r="D17" s="76"/>
      <c r="E17" s="75">
        <f>$D$11*F17</f>
        <v>0</v>
      </c>
      <c r="F17" s="70">
        <f>F16*20%</f>
        <v>0.06</v>
      </c>
    </row>
    <row r="18" spans="2:6" s="48" customFormat="1" ht="15" x14ac:dyDescent="0.25">
      <c r="B18" s="81" t="str">
        <f>Uebersetzungen!D25</f>
        <v>Total des places de stationnement pour vélos</v>
      </c>
      <c r="C18" s="82" t="str">
        <f>Uebersetzungen!$D$31</f>
        <v>Nombre</v>
      </c>
      <c r="D18" s="83">
        <f>SUM(D14,D16)</f>
        <v>0</v>
      </c>
      <c r="E18" s="83">
        <f>SUM(E14,E16)</f>
        <v>0</v>
      </c>
      <c r="F18" s="84"/>
    </row>
    <row r="19" spans="2:6" s="48" customFormat="1" ht="26.25" customHeight="1" x14ac:dyDescent="0.25">
      <c r="C19" s="49"/>
    </row>
    <row r="20" spans="2:6" s="48" customFormat="1" ht="15" x14ac:dyDescent="0.25">
      <c r="B20" s="54" t="str">
        <f>Uebersetzungen!D26</f>
        <v>Entreprises du tertiaire à forte fréquentation (catégorie de bâtiments III)</v>
      </c>
      <c r="C20" s="78"/>
      <c r="D20" s="78"/>
      <c r="E20" s="78"/>
      <c r="F20" s="79"/>
    </row>
    <row r="21" spans="2:6" s="48" customFormat="1" ht="7.5" customHeight="1" x14ac:dyDescent="0.25">
      <c r="B21" s="55"/>
      <c r="F21" s="58"/>
    </row>
    <row r="22" spans="2:6" s="48" customFormat="1" x14ac:dyDescent="0.25">
      <c r="B22" s="57" t="str">
        <f>Uebersetzungen!$D$27</f>
        <v>Postes de travail</v>
      </c>
      <c r="C22" s="52" t="str">
        <f>Uebersetzungen!$D$31</f>
        <v>Nombre</v>
      </c>
      <c r="D22" s="74"/>
      <c r="F22" s="58"/>
    </row>
    <row r="23" spans="2:6" s="48" customFormat="1" x14ac:dyDescent="0.25">
      <c r="B23" s="67"/>
      <c r="C23" s="49"/>
      <c r="F23" s="58"/>
    </row>
    <row r="24" spans="2:6" s="48" customFormat="1" ht="30" x14ac:dyDescent="0.25">
      <c r="B24" s="85"/>
      <c r="C24" s="52"/>
      <c r="D24" s="80" t="str">
        <f>Uebersetzungen!$D$32</f>
        <v>Valeur du projet</v>
      </c>
      <c r="E24" s="80" t="str">
        <f>Uebersetzungen!$D$33</f>
        <v>Exigence</v>
      </c>
      <c r="F24" s="51" t="str">
        <f>Uebersetzungen!$D$33&amp;" "&amp;Uebersetzungen!$D$35</f>
        <v>Exigence [PP/10 postes de travail]</v>
      </c>
    </row>
    <row r="25" spans="2:6" s="48" customFormat="1" x14ac:dyDescent="0.25">
      <c r="B25" s="57" t="str">
        <f>Uebersetzungen!$D$22</f>
        <v>Places de stationnement de longue durée pour vélos</v>
      </c>
      <c r="C25" s="52" t="str">
        <f>Uebersetzungen!$D$31</f>
        <v>Nombre</v>
      </c>
      <c r="D25" s="76"/>
      <c r="E25" s="75">
        <f>F25*$D$22/10</f>
        <v>0</v>
      </c>
      <c r="F25" s="70">
        <f>2*70%</f>
        <v>1.4</v>
      </c>
    </row>
    <row r="26" spans="2:6" s="48" customFormat="1" x14ac:dyDescent="0.25">
      <c r="B26" s="104" t="str">
        <f>Uebersetzungen!$D$23</f>
        <v>dont pour véhicules spéciaux</v>
      </c>
      <c r="C26" s="52" t="str">
        <f>Uebersetzungen!$D$31</f>
        <v>Nombre</v>
      </c>
      <c r="D26" s="76"/>
      <c r="E26" s="75">
        <f>F26*$D$22/10</f>
        <v>0</v>
      </c>
      <c r="F26" s="70">
        <f>F25*10%</f>
        <v>0.13999999999999999</v>
      </c>
    </row>
    <row r="27" spans="2:6" s="48" customFormat="1" x14ac:dyDescent="0.25">
      <c r="B27" s="67" t="str">
        <f>Uebersetzungen!$D$24</f>
        <v>Places de stationnement de courte durée pour vélos</v>
      </c>
      <c r="C27" s="52" t="str">
        <f>Uebersetzungen!$D$31</f>
        <v>Nombre</v>
      </c>
      <c r="D27" s="76"/>
      <c r="E27" s="75">
        <f>F27*$D$22/10</f>
        <v>0</v>
      </c>
      <c r="F27" s="70">
        <f>2*30%+2*100%</f>
        <v>2.6</v>
      </c>
    </row>
    <row r="28" spans="2:6" s="48" customFormat="1" x14ac:dyDescent="0.25">
      <c r="B28" s="104" t="str">
        <f>Uebersetzungen!$D$23</f>
        <v>dont pour véhicules spéciaux</v>
      </c>
      <c r="C28" s="52" t="str">
        <f>Uebersetzungen!$D$31</f>
        <v>Nombre</v>
      </c>
      <c r="D28" s="76"/>
      <c r="E28" s="75">
        <f>F28*$D$22/10</f>
        <v>0</v>
      </c>
      <c r="F28" s="70">
        <f>10%*F27</f>
        <v>0.26</v>
      </c>
    </row>
    <row r="29" spans="2:6" s="48" customFormat="1" ht="15" x14ac:dyDescent="0.25">
      <c r="B29" s="81" t="str">
        <f>Uebersetzungen!$D$25</f>
        <v>Total des places de stationnement pour vélos</v>
      </c>
      <c r="C29" s="82" t="str">
        <f>Uebersetzungen!$D$31</f>
        <v>Nombre</v>
      </c>
      <c r="D29" s="83">
        <f>SUM(D25,D27)</f>
        <v>0</v>
      </c>
      <c r="E29" s="83">
        <f>SUM(E25,E27)</f>
        <v>0</v>
      </c>
      <c r="F29" s="84"/>
    </row>
    <row r="30" spans="2:6" s="48" customFormat="1" ht="26.25" customHeight="1" x14ac:dyDescent="0.25"/>
    <row r="31" spans="2:6" s="48" customFormat="1" ht="15" x14ac:dyDescent="0.25">
      <c r="B31" s="54" t="str">
        <f>Uebersetzungen!D30</f>
        <v>Entreprises de services à faible fréquentation, artisanat et industrie (catégories de bâtiments III et IX)</v>
      </c>
      <c r="C31" s="78"/>
      <c r="D31" s="78"/>
      <c r="E31" s="78"/>
      <c r="F31" s="79"/>
    </row>
    <row r="32" spans="2:6" s="48" customFormat="1" ht="7.5" customHeight="1" x14ac:dyDescent="0.25">
      <c r="B32" s="55"/>
      <c r="F32" s="58"/>
    </row>
    <row r="33" spans="2:6" s="48" customFormat="1" x14ac:dyDescent="0.25">
      <c r="B33" s="57" t="str">
        <f>Uebersetzungen!$D$27</f>
        <v>Postes de travail</v>
      </c>
      <c r="C33" s="52" t="str">
        <f>Uebersetzungen!$D$31</f>
        <v>Nombre</v>
      </c>
      <c r="D33" s="74"/>
      <c r="F33" s="58"/>
    </row>
    <row r="34" spans="2:6" s="48" customFormat="1" x14ac:dyDescent="0.25">
      <c r="B34" s="67"/>
      <c r="C34" s="49"/>
      <c r="F34" s="58"/>
    </row>
    <row r="35" spans="2:6" s="48" customFormat="1" ht="30" x14ac:dyDescent="0.25">
      <c r="B35" s="85"/>
      <c r="C35" s="52"/>
      <c r="D35" s="80" t="str">
        <f>Uebersetzungen!$D$32</f>
        <v>Valeur du projet</v>
      </c>
      <c r="E35" s="80" t="str">
        <f>Uebersetzungen!$D$33</f>
        <v>Exigence</v>
      </c>
      <c r="F35" s="51" t="str">
        <f>Uebersetzungen!$D$33&amp;" "&amp;Uebersetzungen!$D$35</f>
        <v>Exigence [PP/10 postes de travail]</v>
      </c>
    </row>
    <row r="36" spans="2:6" s="48" customFormat="1" x14ac:dyDescent="0.25">
      <c r="B36" s="57" t="str">
        <f>Uebersetzungen!$D$22</f>
        <v>Places de stationnement de longue durée pour vélos</v>
      </c>
      <c r="C36" s="52" t="str">
        <f>Uebersetzungen!$D$31</f>
        <v>Nombre</v>
      </c>
      <c r="D36" s="76"/>
      <c r="E36" s="75">
        <f>F36*$D$33/10</f>
        <v>0</v>
      </c>
      <c r="F36" s="70">
        <f>2*70%</f>
        <v>1.4</v>
      </c>
    </row>
    <row r="37" spans="2:6" s="48" customFormat="1" x14ac:dyDescent="0.25">
      <c r="B37" s="104" t="str">
        <f>Uebersetzungen!$D$23</f>
        <v>dont pour véhicules spéciaux</v>
      </c>
      <c r="C37" s="52" t="str">
        <f>Uebersetzungen!$D$31</f>
        <v>Nombre</v>
      </c>
      <c r="D37" s="76"/>
      <c r="E37" s="75">
        <f t="shared" ref="E37:E39" si="0">F37*$D$33/10</f>
        <v>0</v>
      </c>
      <c r="F37" s="70">
        <f>F36*10%</f>
        <v>0.13999999999999999</v>
      </c>
    </row>
    <row r="38" spans="2:6" s="48" customFormat="1" x14ac:dyDescent="0.25">
      <c r="B38" s="67" t="str">
        <f>Uebersetzungen!$D$24</f>
        <v>Places de stationnement de courte durée pour vélos</v>
      </c>
      <c r="C38" s="52" t="str">
        <f>Uebersetzungen!$D$31</f>
        <v>Nombre</v>
      </c>
      <c r="D38" s="76"/>
      <c r="E38" s="75">
        <f t="shared" si="0"/>
        <v>0</v>
      </c>
      <c r="F38" s="70">
        <f>2*30%+0.5*100%</f>
        <v>1.1000000000000001</v>
      </c>
    </row>
    <row r="39" spans="2:6" s="48" customFormat="1" x14ac:dyDescent="0.25">
      <c r="B39" s="104" t="str">
        <f>Uebersetzungen!$D$23</f>
        <v>dont pour véhicules spéciaux</v>
      </c>
      <c r="C39" s="52" t="str">
        <f>Uebersetzungen!$D$31</f>
        <v>Nombre</v>
      </c>
      <c r="D39" s="76"/>
      <c r="E39" s="75">
        <f t="shared" si="0"/>
        <v>0</v>
      </c>
      <c r="F39" s="70">
        <f>10%*F38</f>
        <v>0.11000000000000001</v>
      </c>
    </row>
    <row r="40" spans="2:6" s="48" customFormat="1" ht="15" x14ac:dyDescent="0.25">
      <c r="B40" s="81" t="str">
        <f>Uebersetzungen!$D$25</f>
        <v>Total des places de stationnement pour vélos</v>
      </c>
      <c r="C40" s="82" t="str">
        <f>Uebersetzungen!$D$31</f>
        <v>Nombre</v>
      </c>
      <c r="D40" s="83">
        <f>SUM(D36,D38)</f>
        <v>0</v>
      </c>
      <c r="E40" s="83">
        <f>SUM(E36,E38)</f>
        <v>0</v>
      </c>
      <c r="F40" s="84"/>
    </row>
    <row r="41" spans="2:6" s="48" customFormat="1" ht="27.95" customHeight="1" x14ac:dyDescent="0.25"/>
    <row r="42" spans="2:6" s="48" customFormat="1" ht="15" x14ac:dyDescent="0.25">
      <c r="B42" s="54" t="str">
        <f>Uebersetzungen!D41</f>
        <v>École (catégorie de bâtiments IV)</v>
      </c>
      <c r="C42" s="78"/>
      <c r="D42" s="78"/>
      <c r="E42" s="78"/>
      <c r="F42" s="79"/>
    </row>
    <row r="43" spans="2:6" s="48" customFormat="1" ht="7.5" customHeight="1" x14ac:dyDescent="0.25">
      <c r="B43" s="55"/>
      <c r="F43" s="58"/>
    </row>
    <row r="44" spans="2:6" s="48" customFormat="1" x14ac:dyDescent="0.25">
      <c r="B44" s="57" t="str">
        <f>Uebersetzungen!$D$42&amp;" "&amp;Uebersetzungen!D43</f>
        <v>Élèves Niveau inférieur</v>
      </c>
      <c r="C44" s="52" t="str">
        <f>Uebersetzungen!$D$31</f>
        <v>Nombre</v>
      </c>
      <c r="D44" s="74"/>
      <c r="F44" s="58"/>
    </row>
    <row r="45" spans="2:6" s="48" customFormat="1" x14ac:dyDescent="0.25">
      <c r="B45" s="57" t="str">
        <f>Uebersetzungen!$D$42&amp;" "&amp;Uebersetzungen!D44</f>
        <v>Élèves Niveau moyen/supérieur</v>
      </c>
      <c r="C45" s="52" t="str">
        <f>Uebersetzungen!$D$31</f>
        <v>Nombre</v>
      </c>
      <c r="D45" s="74"/>
      <c r="F45" s="58"/>
    </row>
    <row r="46" spans="2:6" s="48" customFormat="1" x14ac:dyDescent="0.25">
      <c r="B46" s="57" t="str">
        <f>Uebersetzungen!$D$42&amp;" "&amp;Uebersetzungen!D45</f>
        <v>Élèves Gymnase, école professionnelle, haute école (spécialisée)</v>
      </c>
      <c r="C46" s="52" t="str">
        <f>Uebersetzungen!$D$31</f>
        <v>Nombre</v>
      </c>
      <c r="D46" s="74"/>
      <c r="F46" s="58"/>
    </row>
    <row r="47" spans="2:6" s="48" customFormat="1" x14ac:dyDescent="0.25">
      <c r="B47" s="57" t="str">
        <f>Uebersetzungen!D46</f>
        <v>Enseignants</v>
      </c>
      <c r="C47" s="52" t="str">
        <f>Uebersetzungen!$D$31</f>
        <v>Nombre</v>
      </c>
      <c r="D47" s="88"/>
      <c r="F47" s="58"/>
    </row>
    <row r="48" spans="2:6" s="48" customFormat="1" x14ac:dyDescent="0.25">
      <c r="B48" s="89"/>
      <c r="C48" s="90"/>
      <c r="D48" s="91"/>
      <c r="E48" s="91"/>
      <c r="F48" s="58"/>
    </row>
    <row r="49" spans="2:6" s="48" customFormat="1" ht="30" x14ac:dyDescent="0.25">
      <c r="B49" s="85"/>
      <c r="C49" s="52"/>
      <c r="D49" s="80" t="str">
        <f>Uebersetzungen!$D$32</f>
        <v>Valeur du projet</v>
      </c>
      <c r="E49" s="80" t="str">
        <f>Uebersetzungen!$D$33</f>
        <v>Exigence</v>
      </c>
      <c r="F49" s="51" t="str">
        <f>Uebersetzungen!$D$33&amp;" "&amp;Uebersetzungen!D56</f>
        <v>Exigence [PP/10 élèves, enseignants]</v>
      </c>
    </row>
    <row r="50" spans="2:6" s="48" customFormat="1" x14ac:dyDescent="0.25">
      <c r="B50" s="57" t="str">
        <f>Uebersetzungen!$D$24&amp;" "&amp;Uebersetzungen!D43</f>
        <v>Places de stationnement de courte durée pour vélos Niveau inférieur</v>
      </c>
      <c r="C50" s="52" t="str">
        <f>Uebersetzungen!$D$31</f>
        <v>Nombre</v>
      </c>
      <c r="D50" s="76"/>
      <c r="E50" s="75">
        <f>D44*F50/10</f>
        <v>0</v>
      </c>
      <c r="F50" s="70">
        <f>3</f>
        <v>3</v>
      </c>
    </row>
    <row r="51" spans="2:6" s="48" customFormat="1" x14ac:dyDescent="0.25">
      <c r="B51" s="57" t="str">
        <f>Uebersetzungen!$D$24&amp;" "&amp;Uebersetzungen!D44</f>
        <v>Places de stationnement de courte durée pour vélos Niveau moyen/supérieur</v>
      </c>
      <c r="C51" s="52" t="str">
        <f>Uebersetzungen!$D$31</f>
        <v>Nombre</v>
      </c>
      <c r="D51" s="76"/>
      <c r="E51" s="75">
        <f>D45*F51/10</f>
        <v>0</v>
      </c>
      <c r="F51" s="70">
        <f>7</f>
        <v>7</v>
      </c>
    </row>
    <row r="52" spans="2:6" s="48" customFormat="1" ht="28.5" x14ac:dyDescent="0.25">
      <c r="B52" s="92" t="str">
        <f>Uebersetzungen!$D$24&amp;" "&amp;Uebersetzungen!D45</f>
        <v>Places de stationnement de courte durée pour vélos Gymnase, école professionnelle, haute école (spécialisée)</v>
      </c>
      <c r="C52" s="52" t="str">
        <f>Uebersetzungen!$D$31</f>
        <v>Nombre</v>
      </c>
      <c r="D52" s="76"/>
      <c r="E52" s="75">
        <f>D46*F52/10</f>
        <v>0</v>
      </c>
      <c r="F52" s="70">
        <f>5</f>
        <v>5</v>
      </c>
    </row>
    <row r="53" spans="2:6" s="48" customFormat="1" x14ac:dyDescent="0.25">
      <c r="B53" s="57" t="str">
        <f>Uebersetzungen!$D$24&amp;" "&amp;Uebersetzungen!D46</f>
        <v>Places de stationnement de courte durée pour vélos Enseignants</v>
      </c>
      <c r="C53" s="52" t="str">
        <f>Uebersetzungen!$D$31</f>
        <v>Nombre</v>
      </c>
      <c r="D53" s="76"/>
      <c r="E53" s="75">
        <f>D47*F53/10</f>
        <v>0</v>
      </c>
      <c r="F53" s="70">
        <f>2</f>
        <v>2</v>
      </c>
    </row>
    <row r="54" spans="2:6" s="48" customFormat="1" ht="15" x14ac:dyDescent="0.25">
      <c r="B54" s="81" t="str">
        <f>Uebersetzungen!$D$47&amp;" "&amp;Uebersetzungen!$D$24</f>
        <v>Total Places de stationnement de courte durée pour vélos</v>
      </c>
      <c r="C54" s="82" t="str">
        <f>Uebersetzungen!$D$31</f>
        <v>Nombre</v>
      </c>
      <c r="D54" s="83">
        <f>SUM(D50:D53)</f>
        <v>0</v>
      </c>
      <c r="E54" s="83">
        <f>SUM(E50:E53)</f>
        <v>0</v>
      </c>
      <c r="F54" s="84"/>
    </row>
    <row r="55" spans="2:6" s="48" customFormat="1" ht="26.25" customHeight="1" x14ac:dyDescent="0.25">
      <c r="B55" s="50"/>
    </row>
    <row r="56" spans="2:6" s="48" customFormat="1" ht="15" x14ac:dyDescent="0.25">
      <c r="B56" s="54" t="str">
        <f>Uebersetzungen!D37</f>
        <v>Commerce (catégorie de bâtiment V)</v>
      </c>
      <c r="C56" s="78"/>
      <c r="D56" s="78"/>
      <c r="E56" s="78"/>
      <c r="F56" s="79"/>
    </row>
    <row r="57" spans="2:6" s="48" customFormat="1" ht="7.5" customHeight="1" x14ac:dyDescent="0.25">
      <c r="B57" s="55"/>
      <c r="F57" s="58"/>
    </row>
    <row r="58" spans="2:6" s="48" customFormat="1" ht="16.5" x14ac:dyDescent="0.25">
      <c r="B58" s="57" t="str">
        <f>Uebersetzungen!$D$38&amp;" "&amp;Uebersetzungen!D48</f>
        <v>Surface commerciale Commerces de consommation courante</v>
      </c>
      <c r="C58" s="56" t="s">
        <v>32</v>
      </c>
      <c r="D58" s="76"/>
      <c r="F58" s="58"/>
    </row>
    <row r="59" spans="2:6" s="48" customFormat="1" ht="16.5" x14ac:dyDescent="0.25">
      <c r="B59" s="57" t="str">
        <f>Uebersetzungen!$D$38&amp;" "&amp;Uebersetzungen!D49</f>
        <v>Surface commerciale Autres commerces</v>
      </c>
      <c r="C59" s="56" t="s">
        <v>32</v>
      </c>
      <c r="D59" s="76"/>
      <c r="F59" s="58"/>
    </row>
    <row r="60" spans="2:6" s="48" customFormat="1" ht="16.5" x14ac:dyDescent="0.25">
      <c r="B60" s="57" t="str">
        <f>Uebersetzungen!$D$38&amp;" "&amp;Uebersetzungen!D50</f>
        <v>Surface commerciale Centres commerciaux</v>
      </c>
      <c r="C60" s="56" t="s">
        <v>32</v>
      </c>
      <c r="D60" s="76"/>
      <c r="F60" s="58"/>
    </row>
    <row r="61" spans="2:6" s="48" customFormat="1" x14ac:dyDescent="0.25">
      <c r="B61" s="57" t="str">
        <f>Uebersetzungen!$D$27</f>
        <v>Postes de travail</v>
      </c>
      <c r="C61" s="56" t="str">
        <f>Uebersetzungen!$D$31</f>
        <v>Nombre</v>
      </c>
      <c r="D61" s="76"/>
      <c r="F61" s="58"/>
    </row>
    <row r="62" spans="2:6" s="48" customFormat="1" x14ac:dyDescent="0.25">
      <c r="B62" s="67"/>
      <c r="F62" s="58"/>
    </row>
    <row r="63" spans="2:6" s="48" customFormat="1" ht="33" customHeight="1" x14ac:dyDescent="0.25">
      <c r="B63" s="85" t="str">
        <f>Uebersetzungen!D51</f>
        <v>Clientèle</v>
      </c>
      <c r="C63" s="52"/>
      <c r="D63" s="80" t="str">
        <f>Uebersetzungen!$D$32</f>
        <v>Valeur du projet</v>
      </c>
      <c r="E63" s="80" t="str">
        <f>Uebersetzungen!$D$33</f>
        <v>Exigence</v>
      </c>
      <c r="F63" s="51" t="str">
        <f>Uebersetzungen!$D$33&amp;" "&amp;Uebersetzungen!D40</f>
        <v>Exigence [PP/100 m2 de surface de vente]</v>
      </c>
    </row>
    <row r="64" spans="2:6" s="48" customFormat="1" x14ac:dyDescent="0.25">
      <c r="B64" s="57" t="str">
        <f>Uebersetzungen!$D$24&amp;" "&amp;Uebersetzungen!D48</f>
        <v>Places de stationnement de courte durée pour vélos Commerces de consommation courante</v>
      </c>
      <c r="C64" s="52" t="str">
        <f>Uebersetzungen!$D$31</f>
        <v>Nombre</v>
      </c>
      <c r="D64" s="76"/>
      <c r="E64" s="75">
        <f>D58*F64/100</f>
        <v>0</v>
      </c>
      <c r="F64" s="70">
        <v>3</v>
      </c>
    </row>
    <row r="65" spans="2:6" s="48" customFormat="1" x14ac:dyDescent="0.25">
      <c r="B65" s="57" t="str">
        <f>Uebersetzungen!$D$24&amp;" "&amp;Uebersetzungen!D49</f>
        <v>Places de stationnement de courte durée pour vélos Autres commerces</v>
      </c>
      <c r="C65" s="52" t="str">
        <f>Uebersetzungen!$D$31</f>
        <v>Nombre</v>
      </c>
      <c r="D65" s="76"/>
      <c r="E65" s="75">
        <f>D59*F65/100</f>
        <v>0</v>
      </c>
      <c r="F65" s="70">
        <v>1</v>
      </c>
    </row>
    <row r="66" spans="2:6" s="48" customFormat="1" x14ac:dyDescent="0.25">
      <c r="B66" s="57" t="str">
        <f>Uebersetzungen!$D$22&amp;" "&amp;Uebersetzungen!D50</f>
        <v>Places de stationnement de longue durée pour vélos Centres commerciaux</v>
      </c>
      <c r="C66" s="52" t="str">
        <f>Uebersetzungen!$D$31</f>
        <v>Nombre</v>
      </c>
      <c r="D66" s="76"/>
      <c r="E66" s="75">
        <f>D60*F66/100</f>
        <v>0</v>
      </c>
      <c r="F66" s="70">
        <f>50%*1</f>
        <v>0.5</v>
      </c>
    </row>
    <row r="67" spans="2:6" s="48" customFormat="1" x14ac:dyDescent="0.25">
      <c r="B67" s="57" t="str">
        <f>Uebersetzungen!$D$24&amp;" "&amp;Uebersetzungen!D50</f>
        <v>Places de stationnement de courte durée pour vélos Centres commerciaux</v>
      </c>
      <c r="C67" s="52" t="str">
        <f>Uebersetzungen!$D$31</f>
        <v>Nombre</v>
      </c>
      <c r="D67" s="76"/>
      <c r="E67" s="75">
        <f>D60*F67/100</f>
        <v>0</v>
      </c>
      <c r="F67" s="70">
        <f>50%*1</f>
        <v>0.5</v>
      </c>
    </row>
    <row r="68" spans="2:6" s="48" customFormat="1" x14ac:dyDescent="0.25">
      <c r="B68" s="104" t="str">
        <f>Uebersetzungen!$D$23</f>
        <v>dont pour véhicules spéciaux</v>
      </c>
      <c r="C68" s="52" t="str">
        <f>Uebersetzungen!$D$31</f>
        <v>Nombre</v>
      </c>
      <c r="D68" s="76"/>
      <c r="E68" s="75">
        <f>10%*SUM(E64:E67)</f>
        <v>0</v>
      </c>
      <c r="F68" s="70"/>
    </row>
    <row r="69" spans="2:6" s="50" customFormat="1" ht="15" x14ac:dyDescent="0.25">
      <c r="B69" s="86"/>
      <c r="C69" s="28"/>
      <c r="D69" s="28"/>
      <c r="E69" s="28"/>
      <c r="F69" s="68"/>
    </row>
    <row r="70" spans="2:6" s="48" customFormat="1" ht="30" x14ac:dyDescent="0.25">
      <c r="B70" s="85" t="str">
        <f>Uebersetzungen!D28</f>
        <v>Collaborateurs</v>
      </c>
      <c r="C70" s="52"/>
      <c r="D70" s="80" t="str">
        <f>Uebersetzungen!$D$32</f>
        <v>Valeur du projet</v>
      </c>
      <c r="E70" s="80" t="str">
        <f>Uebersetzungen!$D$33</f>
        <v>Exigence</v>
      </c>
      <c r="F70" s="51" t="str">
        <f>Uebersetzungen!$D$33&amp;" "&amp;Uebersetzungen!$D$35</f>
        <v>Exigence [PP/10 postes de travail]</v>
      </c>
    </row>
    <row r="71" spans="2:6" s="48" customFormat="1" x14ac:dyDescent="0.25">
      <c r="B71" s="57" t="str">
        <f>Uebersetzungen!$D$22</f>
        <v>Places de stationnement de longue durée pour vélos</v>
      </c>
      <c r="C71" s="52"/>
      <c r="D71" s="76"/>
      <c r="E71" s="75">
        <f>D61*F71/10</f>
        <v>0</v>
      </c>
      <c r="F71" s="70">
        <v>2</v>
      </c>
    </row>
    <row r="72" spans="2:6" s="48" customFormat="1" x14ac:dyDescent="0.25">
      <c r="B72" s="104" t="str">
        <f>Uebersetzungen!$D$23</f>
        <v>dont pour véhicules spéciaux</v>
      </c>
      <c r="C72" s="52" t="str">
        <f>Uebersetzungen!$D$31</f>
        <v>Nombre</v>
      </c>
      <c r="D72" s="76"/>
      <c r="E72" s="75">
        <f>F72*$D$61/10</f>
        <v>0</v>
      </c>
      <c r="F72" s="70">
        <f>F71*10%</f>
        <v>0.2</v>
      </c>
    </row>
    <row r="73" spans="2:6" s="48" customFormat="1" x14ac:dyDescent="0.25">
      <c r="B73" s="87"/>
      <c r="C73" s="49"/>
      <c r="D73" s="77"/>
      <c r="E73" s="77"/>
      <c r="F73" s="69"/>
    </row>
    <row r="74" spans="2:6" s="48" customFormat="1" ht="15" x14ac:dyDescent="0.25">
      <c r="B74" s="81" t="str">
        <f>Uebersetzungen!$D$25</f>
        <v>Total des places de stationnement pour vélos</v>
      </c>
      <c r="C74" s="82" t="str">
        <f>Uebersetzungen!$D$31</f>
        <v>Nombre</v>
      </c>
      <c r="D74" s="83">
        <f>SUM(D64:D67,D71)</f>
        <v>0</v>
      </c>
      <c r="E74" s="83">
        <f>SUM(E64:E67,E71)</f>
        <v>0</v>
      </c>
      <c r="F74" s="84"/>
    </row>
    <row r="77" spans="2:6" ht="15" x14ac:dyDescent="0.25">
      <c r="B77" s="47" t="str">
        <f>Uebersetzungen!D52</f>
        <v>RÉNOVATIONS ET CONSTRUCTIONS EXISTANTES</v>
      </c>
    </row>
    <row r="78" spans="2:6" ht="16.5" customHeight="1" x14ac:dyDescent="0.2">
      <c r="B78" s="93" t="str">
        <f>Uebersetzungen!D55&amp;" ("&amp;Uebersetzungen!D33&amp;")"</f>
        <v>Besoin selon le recensement (Exigence)</v>
      </c>
      <c r="C78" s="94" t="str">
        <f>Uebersetzungen!$D$31</f>
        <v>Nombre</v>
      </c>
      <c r="D78" s="103"/>
    </row>
    <row r="79" spans="2:6" ht="16.5" customHeight="1" x14ac:dyDescent="0.2">
      <c r="B79" s="95" t="str">
        <f>Uebersetzungen!D54&amp;" ("&amp;Uebersetzungen!D32&amp;")"</f>
        <v>Places de parc (Valeur du projet)</v>
      </c>
      <c r="C79" s="96" t="str">
        <f>Uebersetzungen!$D$31</f>
        <v>Nombre</v>
      </c>
      <c r="D79" s="97"/>
    </row>
  </sheetData>
  <sheetProtection algorithmName="SHA-512" hashValue="juH1oNVveZaE+kQpvS5HKIkr+E4QgG0NwJai9bdWSE1KNtul3Ko51mPWbt33uqPNF5s3JYPP4EExW8cNmL255g==" saltValue="7HjmdvHSiqaEJaRxVq9lfg==" spinCount="100000" sheet="1" objects="1" scenarios="1" selectLockedCells="1"/>
  <mergeCells count="3">
    <mergeCell ref="B7:F7"/>
    <mergeCell ref="C1:D1"/>
    <mergeCell ref="E1:F1"/>
  </mergeCells>
  <phoneticPr fontId="9" type="noConversion"/>
  <pageMargins left="0.7" right="0.7" top="0.78740157499999996" bottom="0.78740157499999996" header="0.3" footer="0.3"/>
  <pageSetup scale="69" orientation="portrait" r:id="rId1"/>
  <rowBreaks count="1" manualBreakCount="1">
    <brk id="55" min="1" max="5" man="1"/>
  </rowBreaks>
  <ignoredErrors>
    <ignoredError sqref="B16 B38 B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8976-D009-4C1C-8E09-C8D97EC863A2}">
  <sheetPr>
    <pageSetUpPr fitToPage="1"/>
  </sheetPr>
  <dimension ref="B1:Q10"/>
  <sheetViews>
    <sheetView showGridLines="0" zoomScaleNormal="100" zoomScalePageLayoutView="55" workbookViewId="0">
      <selection activeCell="G11" sqref="G11"/>
    </sheetView>
  </sheetViews>
  <sheetFormatPr baseColWidth="10" defaultColWidth="10.85546875" defaultRowHeight="12" x14ac:dyDescent="0.2"/>
  <cols>
    <col min="1" max="1" width="4.140625" style="9" customWidth="1"/>
    <col min="2" max="2" width="49.140625" style="9" customWidth="1"/>
    <col min="3" max="3" width="10.85546875" style="20"/>
    <col min="4" max="4" width="11.5703125" style="9" customWidth="1"/>
    <col min="5" max="5" width="2" style="20" customWidth="1"/>
    <col min="6" max="6" width="10.140625" style="9" customWidth="1"/>
    <col min="7" max="7" width="11.5703125" style="9" customWidth="1"/>
    <col min="8" max="16384" width="10.85546875" style="9"/>
  </cols>
  <sheetData>
    <row r="1" spans="2:17" x14ac:dyDescent="0.2">
      <c r="C1" s="9"/>
      <c r="D1" s="20"/>
      <c r="E1" s="9"/>
      <c r="F1" s="20"/>
      <c r="G1" s="20"/>
      <c r="H1" s="20"/>
      <c r="I1" s="20"/>
      <c r="J1" s="20"/>
      <c r="K1" s="20"/>
      <c r="L1" s="20"/>
      <c r="M1" s="20"/>
      <c r="N1" s="20"/>
      <c r="O1" s="20"/>
      <c r="P1" s="24"/>
      <c r="Q1" s="25"/>
    </row>
    <row r="2" spans="2:17" ht="54" customHeight="1" x14ac:dyDescent="0.2">
      <c r="B2" s="23"/>
      <c r="C2" s="116" t="str">
        <f>Uebersetzungen!D17</f>
        <v>Vue d'ensemble</v>
      </c>
      <c r="D2" s="116"/>
      <c r="E2" s="105"/>
      <c r="F2" s="116" t="str">
        <f>Eingabe!E1</f>
        <v>Outil d'aide E_Mobilité Version 2023.1</v>
      </c>
      <c r="G2" s="117"/>
      <c r="I2" s="20"/>
      <c r="J2" s="20"/>
      <c r="K2" s="20"/>
      <c r="L2" s="20"/>
      <c r="M2" s="20"/>
      <c r="N2" s="20"/>
      <c r="O2" s="20"/>
      <c r="P2" s="24"/>
      <c r="Q2" s="25"/>
    </row>
    <row r="3" spans="2:17" ht="16.5" customHeight="1" x14ac:dyDescent="0.2">
      <c r="C3" s="27"/>
      <c r="D3" s="28"/>
      <c r="E3" s="27"/>
      <c r="F3" s="28"/>
      <c r="G3" s="20"/>
      <c r="H3" s="49"/>
      <c r="I3" s="20"/>
      <c r="J3" s="20"/>
      <c r="K3" s="20"/>
      <c r="L3" s="20"/>
      <c r="M3" s="20"/>
      <c r="N3" s="20"/>
      <c r="O3" s="20"/>
      <c r="P3" s="24"/>
      <c r="Q3" s="25"/>
    </row>
    <row r="4" spans="2:17" ht="30" customHeight="1" x14ac:dyDescent="0.2">
      <c r="B4" s="50" t="str">
        <f>Uebersetzungen!D10</f>
        <v>E1.1 Offre de places de stationnement pour vélos</v>
      </c>
    </row>
    <row r="5" spans="2:17" ht="26.25" customHeight="1" x14ac:dyDescent="0.2">
      <c r="B5" s="59" t="str">
        <f>Uebersetzungen!D53</f>
        <v>NOUVELLES CONSTRUCTIONS</v>
      </c>
      <c r="C5" s="106"/>
      <c r="D5" s="107" t="str">
        <f>Uebersetzungen!D32</f>
        <v>Valeur du projet</v>
      </c>
      <c r="E5" s="118" t="str">
        <f>Uebersetzungen!D33</f>
        <v>Exigence</v>
      </c>
      <c r="F5" s="119"/>
      <c r="G5" s="60" t="str">
        <f>Uebersetzungen!D16</f>
        <v>Respecté ?</v>
      </c>
    </row>
    <row r="6" spans="2:17" ht="26.25" customHeight="1" x14ac:dyDescent="0.2">
      <c r="B6" s="61" t="str">
        <f>Uebersetzungen!D22</f>
        <v>Places de stationnement de longue durée pour vélos</v>
      </c>
      <c r="C6" s="62"/>
      <c r="D6" s="108">
        <f>SUM(Eingabe!D14,Eingabe!D25,Eingabe!D36,Eingabe!D66,Eingabe!D71)</f>
        <v>0</v>
      </c>
      <c r="E6" s="72" t="s">
        <v>44</v>
      </c>
      <c r="F6" s="73">
        <f>SUM(Eingabe!E14,Eingabe!E25,Eingabe!E36,Eingabe!E66,Eingabe!E71)</f>
        <v>0</v>
      </c>
      <c r="G6" s="63" t="str">
        <f>IF(F6=0,"-",IF(D6&gt;=F6,Uebersetzungen!$D$13,Uebersetzungen!$D$14))</f>
        <v>-</v>
      </c>
    </row>
    <row r="7" spans="2:17" ht="26.25" customHeight="1" x14ac:dyDescent="0.2">
      <c r="B7" s="61" t="str">
        <f>Uebersetzungen!D24</f>
        <v>Places de stationnement de courte durée pour vélos</v>
      </c>
      <c r="C7" s="62"/>
      <c r="D7" s="108">
        <f>SUM(Eingabe!D16,Eingabe!D27,Eingabe!D38,Eingabe!D64,Eingabe!D65,Eingabe!D67,Eingabe!D50,Eingabe!D51,Eingabe!D52,Eingabe!D53)</f>
        <v>0</v>
      </c>
      <c r="E7" s="72" t="s">
        <v>44</v>
      </c>
      <c r="F7" s="73">
        <f>SUM(Eingabe!E16,Eingabe!E27,Eingabe!E38,Eingabe!E64,Eingabe!E65,Eingabe!E67,Eingabe!E50,Eingabe!E51,Eingabe!E52,Eingabe!E53)</f>
        <v>0</v>
      </c>
      <c r="G7" s="63" t="str">
        <f>IF(F7=0,"-",IF(D7&gt;=F7,Uebersetzungen!$D$13,Uebersetzungen!$D$14))</f>
        <v>-</v>
      </c>
    </row>
    <row r="8" spans="2:17" ht="26.25" customHeight="1" x14ac:dyDescent="0.2">
      <c r="B8" s="102" t="str">
        <f>Uebersetzungen!D23</f>
        <v>dont pour véhicules spéciaux</v>
      </c>
      <c r="C8" s="62"/>
      <c r="D8" s="108">
        <f>SUM(Eingabe!D15,Eingabe!D17,Eingabe!D26,Eingabe!D28,Eingabe!D37,Eingabe!D39,Eingabe!D68,Eingabe!D72)</f>
        <v>0</v>
      </c>
      <c r="E8" s="72" t="s">
        <v>44</v>
      </c>
      <c r="F8" s="73">
        <f>SUM(Eingabe!E15,Eingabe!E17,Eingabe!E26,Eingabe!E28,Eingabe!E37,Eingabe!E39,Eingabe!E68,Eingabe!E72)</f>
        <v>0</v>
      </c>
      <c r="G8" s="63" t="str">
        <f>IF(F8=0,"-",IF(D8&gt;=F8,Uebersetzungen!$D$13,Uebersetzungen!$D$14))</f>
        <v>-</v>
      </c>
    </row>
    <row r="9" spans="2:17" ht="26.25" customHeight="1" x14ac:dyDescent="0.2">
      <c r="B9" s="101" t="str">
        <f>Uebersetzungen!D11&amp;" ("&amp;Uebersetzungen!D53&amp;", "&amp;Uebersetzungen!D52&amp;")"</f>
        <v>TOUTES (NOUVELLES CONSTRUCTIONS, RÉNOVATIONS ET CONSTRUCTIONS EXISTANTES)</v>
      </c>
      <c r="C9" s="62"/>
      <c r="D9" s="98"/>
      <c r="E9" s="62"/>
      <c r="F9" s="98"/>
      <c r="G9" s="99"/>
    </row>
    <row r="10" spans="2:17" ht="26.25" customHeight="1" x14ac:dyDescent="0.2">
      <c r="B10" s="100" t="str">
        <f>Uebersetzungen!$D$25</f>
        <v>Total des places de stationnement pour vélos</v>
      </c>
      <c r="C10" s="64"/>
      <c r="D10" s="109">
        <f>D6+D7+Eingabe!D79</f>
        <v>0</v>
      </c>
      <c r="E10" s="65" t="s">
        <v>44</v>
      </c>
      <c r="F10" s="71">
        <f>F6+F7+Eingabe!D78</f>
        <v>0</v>
      </c>
      <c r="G10" s="66" t="str">
        <f>IF(F10=0,"-",IF(D10&gt;=F10,Uebersetzungen!$D$13,Uebersetzungen!$D$14))</f>
        <v>-</v>
      </c>
    </row>
  </sheetData>
  <sheetProtection algorithmName="SHA-512" hashValue="a3oE2HxoIvSMNErBbSFpxTUoXrRJP8npGOPADLDx2lC4oUL4RvWaSiByxWTx4xjHIaCaIG/bYYJ8ewPNeLhkZw==" saltValue="DnLX19aVEUwMDIjTRKUQSg==" spinCount="100000" sheet="1" formatColumns="0" selectLockedCells="1"/>
  <mergeCells count="3">
    <mergeCell ref="F2:G2"/>
    <mergeCell ref="E5:F5"/>
    <mergeCell ref="C2:D2"/>
  </mergeCells>
  <pageMargins left="0.70866141732283472" right="0.70866141732283472" top="0.78740157480314965" bottom="0.78740157480314965" header="0.31496062992125984" footer="0.31496062992125984"/>
  <pageSetup paperSize="9" scale="9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B4F464-696D-4949-9BC0-D74EA081C8C3}">
            <xm:f>Uebersetzungen!$D$13</xm:f>
            <x14:dxf>
              <font>
                <color rgb="FF00B050"/>
              </font>
              <fill>
                <patternFill>
                  <bgColor rgb="FF8CF866"/>
                </patternFill>
              </fill>
            </x14:dxf>
          </x14:cfRule>
          <x14:cfRule type="cellIs" priority="2" operator="equal" id="{D434ADEC-6BB7-4B2C-8FBF-01D607526A28}">
            <xm:f>Uebersetzungen!$D$14</xm:f>
            <x14:dxf>
              <font>
                <color rgb="FFFF0000"/>
              </font>
              <fill>
                <patternFill>
                  <bgColor rgb="FFFFB7B7"/>
                </patternFill>
              </fill>
            </x14:dxf>
          </x14:cfRule>
          <xm:sqref>G6:G10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9CA2-27AE-437F-8DAB-69BE66777744}">
  <dimension ref="A1:I178"/>
  <sheetViews>
    <sheetView workbookViewId="0">
      <selection activeCell="C1" sqref="C1"/>
    </sheetView>
  </sheetViews>
  <sheetFormatPr baseColWidth="10" defaultColWidth="11.42578125" defaultRowHeight="12" x14ac:dyDescent="0.2"/>
  <cols>
    <col min="1" max="1" width="6.85546875" style="9" customWidth="1"/>
    <col min="2" max="2" width="12.7109375" style="9" customWidth="1"/>
    <col min="3" max="3" width="12.140625" style="20" customWidth="1"/>
    <col min="4" max="4" width="46.28515625" style="21" customWidth="1"/>
    <col min="5" max="5" width="51.28515625" style="22" customWidth="1"/>
    <col min="6" max="6" width="46.28515625" style="22" customWidth="1"/>
    <col min="7" max="7" width="46.28515625" style="9" customWidth="1"/>
    <col min="8" max="8" width="11.42578125" style="9"/>
    <col min="9" max="9" width="6.140625" style="9" customWidth="1"/>
    <col min="10" max="16384" width="11.42578125" style="9"/>
  </cols>
  <sheetData>
    <row r="1" spans="1:9" ht="23.25" customHeight="1" thickBot="1" x14ac:dyDescent="0.25">
      <c r="A1" s="1">
        <f>VLOOKUP(C1,H1:I3,2)</f>
        <v>2</v>
      </c>
      <c r="B1" s="2" t="s">
        <v>0</v>
      </c>
      <c r="C1" s="3" t="s">
        <v>6</v>
      </c>
      <c r="D1" s="4"/>
      <c r="E1" s="5" t="s">
        <v>2</v>
      </c>
      <c r="F1" s="6"/>
      <c r="G1" s="6"/>
      <c r="H1" s="7" t="str">
        <f>E3</f>
        <v>deutsch</v>
      </c>
      <c r="I1" s="8">
        <v>1</v>
      </c>
    </row>
    <row r="2" spans="1:9" ht="23.25" customHeight="1" thickBot="1" x14ac:dyDescent="0.25">
      <c r="A2" s="10">
        <v>1</v>
      </c>
      <c r="B2" s="11"/>
      <c r="C2" s="12">
        <v>2023</v>
      </c>
      <c r="D2" s="13" t="s">
        <v>3</v>
      </c>
      <c r="E2" s="7"/>
      <c r="F2" s="6"/>
      <c r="G2" s="6"/>
      <c r="H2" s="7" t="str">
        <f>F3</f>
        <v>französisch</v>
      </c>
      <c r="I2" s="8">
        <v>2</v>
      </c>
    </row>
    <row r="3" spans="1:9" ht="23.25" customHeight="1" x14ac:dyDescent="0.2">
      <c r="A3" s="14"/>
      <c r="B3" s="15"/>
      <c r="C3" s="15" t="s">
        <v>4</v>
      </c>
      <c r="D3" s="16" t="s">
        <v>5</v>
      </c>
      <c r="E3" s="17" t="s">
        <v>1</v>
      </c>
      <c r="F3" s="18" t="s">
        <v>6</v>
      </c>
      <c r="G3" s="19" t="s">
        <v>7</v>
      </c>
      <c r="H3" s="7" t="str">
        <f>G3</f>
        <v>italienisch</v>
      </c>
      <c r="I3" s="8">
        <v>3</v>
      </c>
    </row>
    <row r="4" spans="1:9" ht="23.25" customHeight="1" x14ac:dyDescent="0.2">
      <c r="C4" s="20">
        <v>1</v>
      </c>
      <c r="D4" s="21" t="str">
        <f t="shared" ref="D4:D67" si="0">INDEX($E$4:$G$503,$C4,$A$1)</f>
        <v>Outil d'aide E_Mobilité</v>
      </c>
      <c r="E4" s="22" t="s">
        <v>48</v>
      </c>
      <c r="F4" s="22" t="s">
        <v>108</v>
      </c>
      <c r="G4" s="9" t="s">
        <v>60</v>
      </c>
    </row>
    <row r="5" spans="1:9" x14ac:dyDescent="0.2">
      <c r="C5" s="20">
        <v>2</v>
      </c>
      <c r="D5" s="21" t="str">
        <f t="shared" si="0"/>
        <v>Version</v>
      </c>
      <c r="E5" s="22" t="s">
        <v>9</v>
      </c>
      <c r="F5" s="22" t="s">
        <v>9</v>
      </c>
      <c r="G5" s="9" t="s">
        <v>61</v>
      </c>
    </row>
    <row r="6" spans="1:9" x14ac:dyDescent="0.2">
      <c r="C6" s="20">
        <v>3</v>
      </c>
      <c r="D6" s="21" t="str">
        <f t="shared" si="0"/>
        <v>Listes</v>
      </c>
      <c r="E6" s="22" t="s">
        <v>10</v>
      </c>
      <c r="F6" s="22" t="s">
        <v>109</v>
      </c>
      <c r="G6" s="9" t="s">
        <v>62</v>
      </c>
    </row>
    <row r="7" spans="1:9" x14ac:dyDescent="0.2">
      <c r="C7" s="20">
        <v>4</v>
      </c>
      <c r="D7" s="21" t="str">
        <f t="shared" si="0"/>
        <v>Champ de saisie</v>
      </c>
      <c r="E7" s="22" t="s">
        <v>11</v>
      </c>
      <c r="F7" s="22" t="s">
        <v>110</v>
      </c>
      <c r="G7" s="9" t="s">
        <v>63</v>
      </c>
    </row>
    <row r="8" spans="1:9" x14ac:dyDescent="0.2">
      <c r="C8" s="20">
        <v>5</v>
      </c>
      <c r="D8" s="21" t="str">
        <f t="shared" si="0"/>
        <v>Champ de sélection</v>
      </c>
      <c r="E8" s="22" t="s">
        <v>8</v>
      </c>
      <c r="F8" s="22" t="s">
        <v>111</v>
      </c>
      <c r="G8" s="9" t="s">
        <v>64</v>
      </c>
    </row>
    <row r="9" spans="1:9" x14ac:dyDescent="0.2">
      <c r="C9" s="20">
        <v>6</v>
      </c>
      <c r="D9" s="21" t="str">
        <f t="shared" si="0"/>
        <v>Calcul de l'offre de places de stationnement pour vélos</v>
      </c>
      <c r="E9" s="22" t="s">
        <v>49</v>
      </c>
      <c r="F9" s="22" t="s">
        <v>112</v>
      </c>
      <c r="G9" s="9" t="s">
        <v>65</v>
      </c>
    </row>
    <row r="10" spans="1:9" x14ac:dyDescent="0.2">
      <c r="C10" s="20">
        <v>7</v>
      </c>
      <c r="D10" s="21" t="str">
        <f t="shared" si="0"/>
        <v>E1.1 Offre de places de stationnement pour vélos</v>
      </c>
      <c r="E10" s="22" t="s">
        <v>12</v>
      </c>
      <c r="F10" s="22" t="s">
        <v>113</v>
      </c>
      <c r="G10" s="9" t="s">
        <v>66</v>
      </c>
    </row>
    <row r="11" spans="1:9" x14ac:dyDescent="0.2">
      <c r="C11" s="20">
        <v>8</v>
      </c>
      <c r="D11" s="21" t="str">
        <f t="shared" si="0"/>
        <v>TOUTES</v>
      </c>
      <c r="E11" s="22" t="s">
        <v>55</v>
      </c>
      <c r="F11" s="22" t="s">
        <v>114</v>
      </c>
      <c r="G11" s="9" t="s">
        <v>67</v>
      </c>
    </row>
    <row r="12" spans="1:9" x14ac:dyDescent="0.2">
      <c r="C12" s="20">
        <v>9</v>
      </c>
      <c r="D12" s="21">
        <f t="shared" si="0"/>
        <v>0</v>
      </c>
    </row>
    <row r="13" spans="1:9" x14ac:dyDescent="0.2">
      <c r="C13" s="20">
        <v>10</v>
      </c>
      <c r="D13" s="21" t="str">
        <f t="shared" si="0"/>
        <v>oui</v>
      </c>
      <c r="E13" s="22" t="s">
        <v>13</v>
      </c>
      <c r="F13" s="22" t="s">
        <v>115</v>
      </c>
      <c r="G13" s="9" t="s">
        <v>68</v>
      </c>
    </row>
    <row r="14" spans="1:9" x14ac:dyDescent="0.2">
      <c r="C14" s="20">
        <v>11</v>
      </c>
      <c r="D14" s="21" t="str">
        <f>INDEX($E$4:$G$503,$C14,$A$1)</f>
        <v>non</v>
      </c>
      <c r="E14" s="22" t="s">
        <v>14</v>
      </c>
      <c r="F14" s="22" t="s">
        <v>116</v>
      </c>
      <c r="G14" s="9" t="s">
        <v>69</v>
      </c>
    </row>
    <row r="15" spans="1:9" ht="24" x14ac:dyDescent="0.2">
      <c r="C15" s="20">
        <v>12</v>
      </c>
      <c r="D15" s="21" t="str">
        <f t="shared" si="0"/>
        <v>Nombre de places de stationnement pour vélos défini par les autorités dans le cadre du permis de construire.</v>
      </c>
      <c r="E15" s="22" t="s">
        <v>15</v>
      </c>
      <c r="F15" s="22" t="s">
        <v>117</v>
      </c>
      <c r="G15" s="9" t="s">
        <v>101</v>
      </c>
    </row>
    <row r="16" spans="1:9" x14ac:dyDescent="0.2">
      <c r="C16" s="20">
        <v>13</v>
      </c>
      <c r="D16" s="21" t="str">
        <f t="shared" si="0"/>
        <v>Respecté ?</v>
      </c>
      <c r="E16" s="22" t="s">
        <v>19</v>
      </c>
      <c r="F16" s="22" t="s">
        <v>118</v>
      </c>
      <c r="G16" s="9" t="s">
        <v>70</v>
      </c>
    </row>
    <row r="17" spans="3:7" x14ac:dyDescent="0.2">
      <c r="C17" s="20">
        <v>14</v>
      </c>
      <c r="D17" s="21" t="str">
        <f t="shared" si="0"/>
        <v>Vue d'ensemble</v>
      </c>
      <c r="E17" s="22" t="s">
        <v>43</v>
      </c>
      <c r="F17" s="22" t="s">
        <v>119</v>
      </c>
      <c r="G17" s="9" t="s">
        <v>71</v>
      </c>
    </row>
    <row r="18" spans="3:7" x14ac:dyDescent="0.2">
      <c r="C18" s="20">
        <v>15</v>
      </c>
      <c r="D18" s="21">
        <f t="shared" si="0"/>
        <v>0</v>
      </c>
    </row>
    <row r="19" spans="3:7" ht="60" x14ac:dyDescent="0.2">
      <c r="C19" s="20">
        <v>16</v>
      </c>
      <c r="D19" s="21" t="str">
        <f t="shared" si="0"/>
        <v>Le calcul des besoins ci-dessous s'applique aux nouvelles constructions. Pour les bâtiments existants et les rénovations, le calcul des besoins doit être effectué conformément au guide "Stationnement des vélos", OFROU, et saisi à la ligne 78.</v>
      </c>
      <c r="E19" s="22" t="s">
        <v>56</v>
      </c>
      <c r="F19" s="22" t="s">
        <v>120</v>
      </c>
      <c r="G19" s="9" t="s">
        <v>121</v>
      </c>
    </row>
    <row r="20" spans="3:7" x14ac:dyDescent="0.2">
      <c r="C20" s="20">
        <v>17</v>
      </c>
      <c r="D20" s="21" t="str">
        <f t="shared" si="0"/>
        <v>Habitat (catégories de bâtiments I et II)</v>
      </c>
      <c r="E20" s="22" t="s">
        <v>20</v>
      </c>
      <c r="F20" s="22" t="s">
        <v>122</v>
      </c>
      <c r="G20" s="9" t="s">
        <v>72</v>
      </c>
    </row>
    <row r="21" spans="3:7" x14ac:dyDescent="0.2">
      <c r="C21" s="20">
        <v>18</v>
      </c>
      <c r="D21" s="21" t="str">
        <f t="shared" si="0"/>
        <v>Chambres</v>
      </c>
      <c r="E21" s="22" t="s">
        <v>41</v>
      </c>
      <c r="F21" s="22" t="s">
        <v>123</v>
      </c>
      <c r="G21" s="9" t="s">
        <v>102</v>
      </c>
    </row>
    <row r="22" spans="3:7" x14ac:dyDescent="0.2">
      <c r="C22" s="20">
        <v>19</v>
      </c>
      <c r="D22" s="21" t="str">
        <f t="shared" si="0"/>
        <v>Places de stationnement de longue durée pour vélos</v>
      </c>
      <c r="E22" s="22" t="s">
        <v>59</v>
      </c>
      <c r="F22" s="22" t="s">
        <v>124</v>
      </c>
      <c r="G22" s="9" t="s">
        <v>73</v>
      </c>
    </row>
    <row r="23" spans="3:7" x14ac:dyDescent="0.2">
      <c r="C23" s="20">
        <v>20</v>
      </c>
      <c r="D23" s="21" t="str">
        <f t="shared" si="0"/>
        <v>dont pour véhicules spéciaux</v>
      </c>
      <c r="E23" s="22" t="s">
        <v>26</v>
      </c>
      <c r="F23" s="22" t="s">
        <v>125</v>
      </c>
      <c r="G23" s="9" t="s">
        <v>74</v>
      </c>
    </row>
    <row r="24" spans="3:7" x14ac:dyDescent="0.2">
      <c r="C24" s="20">
        <v>21</v>
      </c>
      <c r="D24" s="21" t="str">
        <f t="shared" si="0"/>
        <v>Places de stationnement de courte durée pour vélos</v>
      </c>
      <c r="E24" s="22" t="s">
        <v>28</v>
      </c>
      <c r="F24" s="22" t="s">
        <v>126</v>
      </c>
      <c r="G24" s="9" t="s">
        <v>75</v>
      </c>
    </row>
    <row r="25" spans="3:7" x14ac:dyDescent="0.2">
      <c r="C25" s="20">
        <v>22</v>
      </c>
      <c r="D25" s="21" t="str">
        <f t="shared" si="0"/>
        <v>Total des places de stationnement pour vélos</v>
      </c>
      <c r="E25" s="22" t="s">
        <v>25</v>
      </c>
      <c r="F25" s="22" t="s">
        <v>127</v>
      </c>
      <c r="G25" s="9" t="s">
        <v>76</v>
      </c>
    </row>
    <row r="26" spans="3:7" ht="24" x14ac:dyDescent="0.2">
      <c r="C26" s="20">
        <v>23</v>
      </c>
      <c r="D26" s="21" t="str">
        <f t="shared" si="0"/>
        <v>Entreprises du tertiaire à forte fréquentation (catégorie de bâtiments III)</v>
      </c>
      <c r="E26" s="22" t="s">
        <v>58</v>
      </c>
      <c r="F26" s="22" t="s">
        <v>128</v>
      </c>
      <c r="G26" s="9" t="s">
        <v>77</v>
      </c>
    </row>
    <row r="27" spans="3:7" x14ac:dyDescent="0.2">
      <c r="C27" s="20">
        <v>24</v>
      </c>
      <c r="D27" s="21" t="str">
        <f t="shared" si="0"/>
        <v>Postes de travail</v>
      </c>
      <c r="E27" s="22" t="s">
        <v>42</v>
      </c>
      <c r="F27" s="22" t="s">
        <v>129</v>
      </c>
      <c r="G27" s="9" t="s">
        <v>78</v>
      </c>
    </row>
    <row r="28" spans="3:7" x14ac:dyDescent="0.2">
      <c r="C28" s="20">
        <v>25</v>
      </c>
      <c r="D28" s="21" t="str">
        <f t="shared" si="0"/>
        <v>Collaborateurs</v>
      </c>
      <c r="E28" s="22" t="s">
        <v>17</v>
      </c>
      <c r="F28" s="22" t="s">
        <v>130</v>
      </c>
      <c r="G28" s="9" t="s">
        <v>79</v>
      </c>
    </row>
    <row r="29" spans="3:7" x14ac:dyDescent="0.2">
      <c r="C29" s="20">
        <v>26</v>
      </c>
      <c r="D29" s="21" t="str">
        <f t="shared" si="0"/>
        <v>Visiteurs</v>
      </c>
      <c r="E29" s="22" t="s">
        <v>21</v>
      </c>
      <c r="F29" s="22" t="s">
        <v>131</v>
      </c>
      <c r="G29" s="9" t="s">
        <v>80</v>
      </c>
    </row>
    <row r="30" spans="3:7" ht="24" x14ac:dyDescent="0.2">
      <c r="C30" s="20">
        <v>27</v>
      </c>
      <c r="D30" s="21" t="str">
        <f t="shared" si="0"/>
        <v>Entreprises de services à faible fréquentation, artisanat et industrie (catégories de bâtiments III et IX)</v>
      </c>
      <c r="E30" s="22" t="s">
        <v>57</v>
      </c>
      <c r="F30" s="22" t="s">
        <v>132</v>
      </c>
      <c r="G30" s="9" t="s">
        <v>81</v>
      </c>
    </row>
    <row r="31" spans="3:7" x14ac:dyDescent="0.2">
      <c r="C31" s="20">
        <v>28</v>
      </c>
      <c r="D31" s="21" t="str">
        <f t="shared" si="0"/>
        <v>Nombre</v>
      </c>
      <c r="E31" s="22" t="s">
        <v>27</v>
      </c>
      <c r="F31" s="22" t="s">
        <v>133</v>
      </c>
      <c r="G31" s="9" t="s">
        <v>82</v>
      </c>
    </row>
    <row r="32" spans="3:7" x14ac:dyDescent="0.2">
      <c r="C32" s="20">
        <v>29</v>
      </c>
      <c r="D32" s="21" t="str">
        <f t="shared" si="0"/>
        <v>Valeur du projet</v>
      </c>
      <c r="E32" s="22" t="s">
        <v>18</v>
      </c>
      <c r="F32" s="22" t="s">
        <v>134</v>
      </c>
      <c r="G32" s="9" t="s">
        <v>83</v>
      </c>
    </row>
    <row r="33" spans="3:7" x14ac:dyDescent="0.2">
      <c r="C33" s="20">
        <v>30</v>
      </c>
      <c r="D33" s="21" t="str">
        <f t="shared" si="0"/>
        <v>Exigence</v>
      </c>
      <c r="E33" s="22" t="s">
        <v>24</v>
      </c>
      <c r="F33" s="22" t="s">
        <v>135</v>
      </c>
      <c r="G33" s="9" t="s">
        <v>84</v>
      </c>
    </row>
    <row r="34" spans="3:7" x14ac:dyDescent="0.2">
      <c r="C34" s="20">
        <v>31</v>
      </c>
      <c r="D34" s="21" t="str">
        <f t="shared" si="0"/>
        <v>[PP/chambre]</v>
      </c>
      <c r="E34" s="22" t="s">
        <v>29</v>
      </c>
      <c r="F34" s="22" t="s">
        <v>136</v>
      </c>
      <c r="G34" s="9" t="s">
        <v>103</v>
      </c>
    </row>
    <row r="35" spans="3:7" x14ac:dyDescent="0.2">
      <c r="C35" s="20">
        <v>32</v>
      </c>
      <c r="D35" s="21" t="str">
        <f t="shared" si="0"/>
        <v>[PP/10 postes de travail]</v>
      </c>
      <c r="E35" s="22" t="s">
        <v>30</v>
      </c>
      <c r="F35" s="22" t="s">
        <v>137</v>
      </c>
      <c r="G35" s="9" t="s">
        <v>104</v>
      </c>
    </row>
    <row r="36" spans="3:7" x14ac:dyDescent="0.2">
      <c r="C36" s="20">
        <v>33</v>
      </c>
      <c r="D36" s="21" t="str">
        <f t="shared" si="0"/>
        <v>Entrée</v>
      </c>
      <c r="E36" s="22" t="s">
        <v>31</v>
      </c>
      <c r="F36" s="22" t="s">
        <v>138</v>
      </c>
      <c r="G36" s="9" t="s">
        <v>105</v>
      </c>
    </row>
    <row r="37" spans="3:7" x14ac:dyDescent="0.2">
      <c r="C37" s="20">
        <v>34</v>
      </c>
      <c r="D37" s="21" t="str">
        <f t="shared" si="0"/>
        <v>Commerce (catégorie de bâtiment V)</v>
      </c>
      <c r="E37" s="22" t="s">
        <v>22</v>
      </c>
      <c r="F37" s="22" t="s">
        <v>139</v>
      </c>
      <c r="G37" s="9" t="s">
        <v>85</v>
      </c>
    </row>
    <row r="38" spans="3:7" x14ac:dyDescent="0.2">
      <c r="C38" s="20">
        <v>35</v>
      </c>
      <c r="D38" s="21" t="str">
        <f t="shared" si="0"/>
        <v>Surface commerciale</v>
      </c>
      <c r="E38" s="22" t="s">
        <v>23</v>
      </c>
      <c r="F38" s="22" t="s">
        <v>140</v>
      </c>
      <c r="G38" s="9" t="s">
        <v>86</v>
      </c>
    </row>
    <row r="39" spans="3:7" x14ac:dyDescent="0.2">
      <c r="C39" s="20">
        <v>36</v>
      </c>
      <c r="D39" s="21" t="str">
        <f t="shared" si="0"/>
        <v>Places de parc couvertes</v>
      </c>
      <c r="E39" s="22" t="s">
        <v>33</v>
      </c>
      <c r="F39" s="22" t="s">
        <v>141</v>
      </c>
      <c r="G39" s="9" t="s">
        <v>87</v>
      </c>
    </row>
    <row r="40" spans="3:7" x14ac:dyDescent="0.2">
      <c r="C40" s="20">
        <v>37</v>
      </c>
      <c r="D40" s="21" t="str">
        <f t="shared" si="0"/>
        <v>[PP/100 m2 de surface de vente]</v>
      </c>
      <c r="E40" s="22" t="s">
        <v>34</v>
      </c>
      <c r="F40" s="22" t="s">
        <v>142</v>
      </c>
      <c r="G40" s="9" t="s">
        <v>106</v>
      </c>
    </row>
    <row r="41" spans="3:7" x14ac:dyDescent="0.2">
      <c r="C41" s="20">
        <v>38</v>
      </c>
      <c r="D41" s="21" t="str">
        <f t="shared" si="0"/>
        <v>École (catégorie de bâtiments IV)</v>
      </c>
      <c r="E41" s="22" t="s">
        <v>36</v>
      </c>
      <c r="F41" s="22" t="s">
        <v>143</v>
      </c>
      <c r="G41" s="9" t="s">
        <v>88</v>
      </c>
    </row>
    <row r="42" spans="3:7" x14ac:dyDescent="0.2">
      <c r="C42" s="20">
        <v>39</v>
      </c>
      <c r="D42" s="21" t="str">
        <f t="shared" si="0"/>
        <v>Élèves</v>
      </c>
      <c r="E42" s="22" t="s">
        <v>40</v>
      </c>
      <c r="F42" s="22" t="s">
        <v>144</v>
      </c>
      <c r="G42" s="9" t="s">
        <v>89</v>
      </c>
    </row>
    <row r="43" spans="3:7" x14ac:dyDescent="0.2">
      <c r="C43" s="20">
        <v>40</v>
      </c>
      <c r="D43" s="21" t="str">
        <f t="shared" si="0"/>
        <v>Niveau inférieur</v>
      </c>
      <c r="E43" s="22" t="s">
        <v>37</v>
      </c>
      <c r="F43" s="22" t="s">
        <v>145</v>
      </c>
      <c r="G43" s="9" t="s">
        <v>90</v>
      </c>
    </row>
    <row r="44" spans="3:7" x14ac:dyDescent="0.2">
      <c r="C44" s="20">
        <v>41</v>
      </c>
      <c r="D44" s="21" t="str">
        <f t="shared" si="0"/>
        <v>Niveau moyen/supérieur</v>
      </c>
      <c r="E44" s="22" t="s">
        <v>38</v>
      </c>
      <c r="F44" s="22" t="s">
        <v>146</v>
      </c>
      <c r="G44" s="9" t="s">
        <v>91</v>
      </c>
    </row>
    <row r="45" spans="3:7" ht="24" x14ac:dyDescent="0.2">
      <c r="C45" s="20">
        <v>42</v>
      </c>
      <c r="D45" s="21" t="str">
        <f t="shared" si="0"/>
        <v>Gymnase, école professionnelle, haute école (spécialisée)</v>
      </c>
      <c r="E45" s="22" t="s">
        <v>50</v>
      </c>
      <c r="F45" s="22" t="s">
        <v>147</v>
      </c>
      <c r="G45" s="9" t="s">
        <v>107</v>
      </c>
    </row>
    <row r="46" spans="3:7" x14ac:dyDescent="0.2">
      <c r="C46" s="20">
        <v>43</v>
      </c>
      <c r="D46" s="21" t="str">
        <f t="shared" si="0"/>
        <v>Enseignants</v>
      </c>
      <c r="E46" s="22" t="s">
        <v>39</v>
      </c>
      <c r="F46" s="22" t="s">
        <v>148</v>
      </c>
      <c r="G46" s="9" t="s">
        <v>92</v>
      </c>
    </row>
    <row r="47" spans="3:7" x14ac:dyDescent="0.2">
      <c r="C47" s="20">
        <v>44</v>
      </c>
      <c r="D47" s="21" t="str">
        <f t="shared" si="0"/>
        <v>Total</v>
      </c>
      <c r="E47" s="22" t="s">
        <v>16</v>
      </c>
      <c r="F47" s="22" t="s">
        <v>16</v>
      </c>
      <c r="G47" s="9" t="s">
        <v>93</v>
      </c>
    </row>
    <row r="48" spans="3:7" x14ac:dyDescent="0.2">
      <c r="C48" s="20">
        <v>45</v>
      </c>
      <c r="D48" s="21" t="str">
        <f t="shared" si="0"/>
        <v>Commerces de consommation courante</v>
      </c>
      <c r="E48" s="22" t="s">
        <v>45</v>
      </c>
      <c r="F48" s="22" t="s">
        <v>149</v>
      </c>
      <c r="G48" s="9" t="s">
        <v>94</v>
      </c>
    </row>
    <row r="49" spans="3:7" x14ac:dyDescent="0.2">
      <c r="C49" s="20">
        <v>46</v>
      </c>
      <c r="D49" s="21" t="str">
        <f t="shared" si="0"/>
        <v>Autres commerces</v>
      </c>
      <c r="E49" s="22" t="s">
        <v>47</v>
      </c>
      <c r="F49" s="22" t="s">
        <v>150</v>
      </c>
      <c r="G49" s="9" t="s">
        <v>95</v>
      </c>
    </row>
    <row r="50" spans="3:7" x14ac:dyDescent="0.2">
      <c r="C50" s="20">
        <v>47</v>
      </c>
      <c r="D50" s="21" t="str">
        <f t="shared" si="0"/>
        <v>Centres commerciaux</v>
      </c>
      <c r="E50" s="22" t="s">
        <v>46</v>
      </c>
      <c r="F50" s="22" t="s">
        <v>151</v>
      </c>
      <c r="G50" s="9" t="s">
        <v>96</v>
      </c>
    </row>
    <row r="51" spans="3:7" x14ac:dyDescent="0.2">
      <c r="C51" s="20">
        <v>48</v>
      </c>
      <c r="D51" s="21" t="str">
        <f t="shared" si="0"/>
        <v>Clientèle</v>
      </c>
      <c r="E51" s="22" t="s">
        <v>35</v>
      </c>
      <c r="F51" s="22" t="s">
        <v>152</v>
      </c>
      <c r="G51" s="9" t="s">
        <v>97</v>
      </c>
    </row>
    <row r="52" spans="3:7" x14ac:dyDescent="0.2">
      <c r="C52" s="20">
        <v>49</v>
      </c>
      <c r="D52" s="21" t="str">
        <f t="shared" si="0"/>
        <v>RÉNOVATIONS ET CONSTRUCTIONS EXISTANTES</v>
      </c>
      <c r="E52" s="22" t="s">
        <v>52</v>
      </c>
      <c r="F52" s="22" t="s">
        <v>153</v>
      </c>
      <c r="G52" s="9" t="s">
        <v>154</v>
      </c>
    </row>
    <row r="53" spans="3:7" x14ac:dyDescent="0.2">
      <c r="C53" s="20">
        <v>50</v>
      </c>
      <c r="D53" s="21" t="str">
        <f t="shared" si="0"/>
        <v>NOUVELLES CONSTRUCTIONS</v>
      </c>
      <c r="E53" s="22" t="s">
        <v>51</v>
      </c>
      <c r="F53" s="22" t="s">
        <v>155</v>
      </c>
      <c r="G53" s="9" t="s">
        <v>98</v>
      </c>
    </row>
    <row r="54" spans="3:7" x14ac:dyDescent="0.2">
      <c r="C54" s="20">
        <v>51</v>
      </c>
      <c r="D54" s="21" t="str">
        <f t="shared" si="0"/>
        <v>Places de parc</v>
      </c>
      <c r="E54" s="22" t="s">
        <v>54</v>
      </c>
      <c r="F54" s="22" t="s">
        <v>156</v>
      </c>
      <c r="G54" s="9" t="s">
        <v>99</v>
      </c>
    </row>
    <row r="55" spans="3:7" x14ac:dyDescent="0.2">
      <c r="C55" s="20">
        <v>52</v>
      </c>
      <c r="D55" s="21" t="str">
        <f t="shared" si="0"/>
        <v>Besoin selon le recensement</v>
      </c>
      <c r="E55" s="22" t="s">
        <v>53</v>
      </c>
      <c r="F55" s="22" t="s">
        <v>157</v>
      </c>
      <c r="G55" s="9" t="s">
        <v>100</v>
      </c>
    </row>
    <row r="56" spans="3:7" x14ac:dyDescent="0.2">
      <c r="C56" s="20">
        <v>53</v>
      </c>
      <c r="D56" s="21" t="str">
        <f t="shared" si="0"/>
        <v>[PP/10 élèves, enseignants]</v>
      </c>
      <c r="E56" s="22" t="s">
        <v>158</v>
      </c>
      <c r="F56" s="22" t="s">
        <v>159</v>
      </c>
      <c r="G56" s="22" t="s">
        <v>160</v>
      </c>
    </row>
    <row r="57" spans="3:7" x14ac:dyDescent="0.2">
      <c r="C57" s="20">
        <v>54</v>
      </c>
      <c r="D57" s="21">
        <f t="shared" si="0"/>
        <v>0</v>
      </c>
    </row>
    <row r="58" spans="3:7" x14ac:dyDescent="0.2">
      <c r="C58" s="20">
        <v>55</v>
      </c>
      <c r="D58" s="21">
        <f t="shared" si="0"/>
        <v>0</v>
      </c>
    </row>
    <row r="59" spans="3:7" x14ac:dyDescent="0.2">
      <c r="C59" s="20">
        <v>56</v>
      </c>
      <c r="D59" s="21">
        <f t="shared" si="0"/>
        <v>0</v>
      </c>
    </row>
    <row r="60" spans="3:7" x14ac:dyDescent="0.2">
      <c r="C60" s="20">
        <v>57</v>
      </c>
      <c r="D60" s="21">
        <f t="shared" si="0"/>
        <v>0</v>
      </c>
    </row>
    <row r="61" spans="3:7" x14ac:dyDescent="0.2">
      <c r="C61" s="20">
        <v>58</v>
      </c>
      <c r="D61" s="21">
        <f t="shared" si="0"/>
        <v>0</v>
      </c>
    </row>
    <row r="62" spans="3:7" x14ac:dyDescent="0.2">
      <c r="C62" s="20">
        <v>59</v>
      </c>
      <c r="D62" s="21">
        <f t="shared" si="0"/>
        <v>0</v>
      </c>
    </row>
    <row r="63" spans="3:7" x14ac:dyDescent="0.2">
      <c r="C63" s="20">
        <v>60</v>
      </c>
      <c r="D63" s="21">
        <f t="shared" si="0"/>
        <v>0</v>
      </c>
    </row>
    <row r="64" spans="3:7" x14ac:dyDescent="0.2">
      <c r="C64" s="20">
        <v>61</v>
      </c>
      <c r="D64" s="21">
        <f t="shared" si="0"/>
        <v>0</v>
      </c>
    </row>
    <row r="65" spans="3:4" x14ac:dyDescent="0.2">
      <c r="C65" s="20">
        <v>62</v>
      </c>
      <c r="D65" s="21">
        <f t="shared" si="0"/>
        <v>0</v>
      </c>
    </row>
    <row r="66" spans="3:4" x14ac:dyDescent="0.2">
      <c r="C66" s="20">
        <v>63</v>
      </c>
      <c r="D66" s="21">
        <f t="shared" si="0"/>
        <v>0</v>
      </c>
    </row>
    <row r="67" spans="3:4" x14ac:dyDescent="0.2">
      <c r="C67" s="20">
        <v>64</v>
      </c>
      <c r="D67" s="21">
        <f t="shared" si="0"/>
        <v>0</v>
      </c>
    </row>
    <row r="68" spans="3:4" x14ac:dyDescent="0.2">
      <c r="C68" s="20">
        <v>65</v>
      </c>
      <c r="D68" s="21">
        <f t="shared" ref="D68:D131" si="1">INDEX($E$4:$G$503,$C68,$A$1)</f>
        <v>0</v>
      </c>
    </row>
    <row r="69" spans="3:4" x14ac:dyDescent="0.2">
      <c r="C69" s="20">
        <v>66</v>
      </c>
      <c r="D69" s="21">
        <f t="shared" si="1"/>
        <v>0</v>
      </c>
    </row>
    <row r="70" spans="3:4" x14ac:dyDescent="0.2">
      <c r="C70" s="20">
        <v>67</v>
      </c>
      <c r="D70" s="21">
        <f t="shared" si="1"/>
        <v>0</v>
      </c>
    </row>
    <row r="71" spans="3:4" x14ac:dyDescent="0.2">
      <c r="C71" s="20">
        <v>68</v>
      </c>
      <c r="D71" s="21">
        <f t="shared" si="1"/>
        <v>0</v>
      </c>
    </row>
    <row r="72" spans="3:4" x14ac:dyDescent="0.2">
      <c r="C72" s="20">
        <v>69</v>
      </c>
      <c r="D72" s="21">
        <f t="shared" si="1"/>
        <v>0</v>
      </c>
    </row>
    <row r="73" spans="3:4" x14ac:dyDescent="0.2">
      <c r="C73" s="20">
        <v>70</v>
      </c>
      <c r="D73" s="21">
        <f t="shared" si="1"/>
        <v>0</v>
      </c>
    </row>
    <row r="74" spans="3:4" x14ac:dyDescent="0.2">
      <c r="C74" s="20">
        <v>71</v>
      </c>
      <c r="D74" s="21">
        <f t="shared" si="1"/>
        <v>0</v>
      </c>
    </row>
    <row r="75" spans="3:4" x14ac:dyDescent="0.2">
      <c r="C75" s="20">
        <v>72</v>
      </c>
      <c r="D75" s="21">
        <f t="shared" si="1"/>
        <v>0</v>
      </c>
    </row>
    <row r="76" spans="3:4" x14ac:dyDescent="0.2">
      <c r="C76" s="20">
        <v>73</v>
      </c>
      <c r="D76" s="21">
        <f t="shared" si="1"/>
        <v>0</v>
      </c>
    </row>
    <row r="77" spans="3:4" x14ac:dyDescent="0.2">
      <c r="C77" s="20">
        <v>74</v>
      </c>
      <c r="D77" s="21">
        <f t="shared" si="1"/>
        <v>0</v>
      </c>
    </row>
    <row r="78" spans="3:4" x14ac:dyDescent="0.2">
      <c r="C78" s="20">
        <v>75</v>
      </c>
      <c r="D78" s="21">
        <f t="shared" si="1"/>
        <v>0</v>
      </c>
    </row>
    <row r="79" spans="3:4" x14ac:dyDescent="0.2">
      <c r="C79" s="20">
        <v>76</v>
      </c>
      <c r="D79" s="21">
        <f t="shared" si="1"/>
        <v>0</v>
      </c>
    </row>
    <row r="80" spans="3:4" x14ac:dyDescent="0.2">
      <c r="C80" s="20">
        <v>77</v>
      </c>
      <c r="D80" s="21">
        <f t="shared" si="1"/>
        <v>0</v>
      </c>
    </row>
    <row r="81" spans="3:4" x14ac:dyDescent="0.2">
      <c r="C81" s="20">
        <v>78</v>
      </c>
      <c r="D81" s="21">
        <f t="shared" si="1"/>
        <v>0</v>
      </c>
    </row>
    <row r="82" spans="3:4" x14ac:dyDescent="0.2">
      <c r="C82" s="20">
        <v>79</v>
      </c>
      <c r="D82" s="21">
        <f t="shared" si="1"/>
        <v>0</v>
      </c>
    </row>
    <row r="83" spans="3:4" x14ac:dyDescent="0.2">
      <c r="C83" s="20">
        <v>80</v>
      </c>
      <c r="D83" s="21">
        <f t="shared" si="1"/>
        <v>0</v>
      </c>
    </row>
    <row r="84" spans="3:4" x14ac:dyDescent="0.2">
      <c r="C84" s="20">
        <v>81</v>
      </c>
      <c r="D84" s="21">
        <f t="shared" si="1"/>
        <v>0</v>
      </c>
    </row>
    <row r="85" spans="3:4" x14ac:dyDescent="0.2">
      <c r="C85" s="20">
        <v>82</v>
      </c>
      <c r="D85" s="21">
        <f t="shared" si="1"/>
        <v>0</v>
      </c>
    </row>
    <row r="86" spans="3:4" x14ac:dyDescent="0.2">
      <c r="C86" s="20">
        <v>83</v>
      </c>
      <c r="D86" s="21">
        <f t="shared" si="1"/>
        <v>0</v>
      </c>
    </row>
    <row r="87" spans="3:4" x14ac:dyDescent="0.2">
      <c r="C87" s="20">
        <v>84</v>
      </c>
      <c r="D87" s="21">
        <f t="shared" si="1"/>
        <v>0</v>
      </c>
    </row>
    <row r="88" spans="3:4" x14ac:dyDescent="0.2">
      <c r="C88" s="20">
        <v>85</v>
      </c>
      <c r="D88" s="21">
        <f t="shared" si="1"/>
        <v>0</v>
      </c>
    </row>
    <row r="89" spans="3:4" x14ac:dyDescent="0.2">
      <c r="C89" s="20">
        <v>86</v>
      </c>
      <c r="D89" s="21">
        <f t="shared" si="1"/>
        <v>0</v>
      </c>
    </row>
    <row r="90" spans="3:4" x14ac:dyDescent="0.2">
      <c r="C90" s="20">
        <v>87</v>
      </c>
      <c r="D90" s="21">
        <f t="shared" si="1"/>
        <v>0</v>
      </c>
    </row>
    <row r="91" spans="3:4" x14ac:dyDescent="0.2">
      <c r="C91" s="20">
        <v>88</v>
      </c>
      <c r="D91" s="21">
        <f t="shared" si="1"/>
        <v>0</v>
      </c>
    </row>
    <row r="92" spans="3:4" x14ac:dyDescent="0.2">
      <c r="C92" s="20">
        <v>89</v>
      </c>
      <c r="D92" s="21">
        <f t="shared" si="1"/>
        <v>0</v>
      </c>
    </row>
    <row r="93" spans="3:4" x14ac:dyDescent="0.2">
      <c r="C93" s="20">
        <v>90</v>
      </c>
      <c r="D93" s="21">
        <f t="shared" si="1"/>
        <v>0</v>
      </c>
    </row>
    <row r="94" spans="3:4" x14ac:dyDescent="0.2">
      <c r="C94" s="20">
        <v>91</v>
      </c>
      <c r="D94" s="21">
        <f t="shared" si="1"/>
        <v>0</v>
      </c>
    </row>
    <row r="95" spans="3:4" x14ac:dyDescent="0.2">
      <c r="C95" s="20">
        <v>92</v>
      </c>
      <c r="D95" s="21">
        <f t="shared" si="1"/>
        <v>0</v>
      </c>
    </row>
    <row r="96" spans="3:4" x14ac:dyDescent="0.2">
      <c r="C96" s="20">
        <v>93</v>
      </c>
      <c r="D96" s="21">
        <f t="shared" si="1"/>
        <v>0</v>
      </c>
    </row>
    <row r="97" spans="3:4" x14ac:dyDescent="0.2">
      <c r="C97" s="20">
        <v>94</v>
      </c>
      <c r="D97" s="21">
        <f t="shared" si="1"/>
        <v>0</v>
      </c>
    </row>
    <row r="98" spans="3:4" x14ac:dyDescent="0.2">
      <c r="C98" s="20">
        <v>95</v>
      </c>
      <c r="D98" s="21">
        <f t="shared" si="1"/>
        <v>0</v>
      </c>
    </row>
    <row r="99" spans="3:4" x14ac:dyDescent="0.2">
      <c r="C99" s="20">
        <v>96</v>
      </c>
      <c r="D99" s="21">
        <f t="shared" si="1"/>
        <v>0</v>
      </c>
    </row>
    <row r="100" spans="3:4" x14ac:dyDescent="0.2">
      <c r="C100" s="20">
        <v>97</v>
      </c>
      <c r="D100" s="21">
        <f t="shared" si="1"/>
        <v>0</v>
      </c>
    </row>
    <row r="101" spans="3:4" x14ac:dyDescent="0.2">
      <c r="C101" s="20">
        <v>98</v>
      </c>
      <c r="D101" s="21">
        <f t="shared" si="1"/>
        <v>0</v>
      </c>
    </row>
    <row r="102" spans="3:4" x14ac:dyDescent="0.2">
      <c r="C102" s="20">
        <v>99</v>
      </c>
      <c r="D102" s="21">
        <f t="shared" si="1"/>
        <v>0</v>
      </c>
    </row>
    <row r="103" spans="3:4" x14ac:dyDescent="0.2">
      <c r="C103" s="20">
        <v>100</v>
      </c>
      <c r="D103" s="21">
        <f t="shared" si="1"/>
        <v>0</v>
      </c>
    </row>
    <row r="104" spans="3:4" x14ac:dyDescent="0.2">
      <c r="C104" s="20">
        <v>101</v>
      </c>
      <c r="D104" s="21">
        <f t="shared" si="1"/>
        <v>0</v>
      </c>
    </row>
    <row r="105" spans="3:4" x14ac:dyDescent="0.2">
      <c r="C105" s="20">
        <v>102</v>
      </c>
      <c r="D105" s="21">
        <f t="shared" si="1"/>
        <v>0</v>
      </c>
    </row>
    <row r="106" spans="3:4" x14ac:dyDescent="0.2">
      <c r="C106" s="20">
        <v>103</v>
      </c>
      <c r="D106" s="21">
        <f t="shared" si="1"/>
        <v>0</v>
      </c>
    </row>
    <row r="107" spans="3:4" x14ac:dyDescent="0.2">
      <c r="C107" s="20">
        <v>104</v>
      </c>
      <c r="D107" s="21">
        <f t="shared" si="1"/>
        <v>0</v>
      </c>
    </row>
    <row r="108" spans="3:4" x14ac:dyDescent="0.2">
      <c r="C108" s="20">
        <v>105</v>
      </c>
      <c r="D108" s="21">
        <f t="shared" si="1"/>
        <v>0</v>
      </c>
    </row>
    <row r="109" spans="3:4" x14ac:dyDescent="0.2">
      <c r="C109" s="20">
        <v>106</v>
      </c>
      <c r="D109" s="21">
        <f t="shared" si="1"/>
        <v>0</v>
      </c>
    </row>
    <row r="110" spans="3:4" x14ac:dyDescent="0.2">
      <c r="C110" s="20">
        <v>107</v>
      </c>
      <c r="D110" s="21">
        <f t="shared" si="1"/>
        <v>0</v>
      </c>
    </row>
    <row r="111" spans="3:4" x14ac:dyDescent="0.2">
      <c r="C111" s="20">
        <v>108</v>
      </c>
      <c r="D111" s="21">
        <f t="shared" si="1"/>
        <v>0</v>
      </c>
    </row>
    <row r="112" spans="3:4" x14ac:dyDescent="0.2">
      <c r="C112" s="20">
        <v>109</v>
      </c>
      <c r="D112" s="21">
        <f t="shared" si="1"/>
        <v>0</v>
      </c>
    </row>
    <row r="113" spans="3:4" x14ac:dyDescent="0.2">
      <c r="C113" s="20">
        <v>110</v>
      </c>
      <c r="D113" s="21">
        <f t="shared" si="1"/>
        <v>0</v>
      </c>
    </row>
    <row r="114" spans="3:4" x14ac:dyDescent="0.2">
      <c r="C114" s="20">
        <v>111</v>
      </c>
      <c r="D114" s="21">
        <f t="shared" si="1"/>
        <v>0</v>
      </c>
    </row>
    <row r="115" spans="3:4" x14ac:dyDescent="0.2">
      <c r="C115" s="20">
        <v>112</v>
      </c>
      <c r="D115" s="21">
        <f t="shared" si="1"/>
        <v>0</v>
      </c>
    </row>
    <row r="116" spans="3:4" x14ac:dyDescent="0.2">
      <c r="C116" s="20">
        <v>113</v>
      </c>
      <c r="D116" s="21">
        <f t="shared" si="1"/>
        <v>0</v>
      </c>
    </row>
    <row r="117" spans="3:4" x14ac:dyDescent="0.2">
      <c r="C117" s="20">
        <v>114</v>
      </c>
      <c r="D117" s="21">
        <f t="shared" si="1"/>
        <v>0</v>
      </c>
    </row>
    <row r="118" spans="3:4" x14ac:dyDescent="0.2">
      <c r="C118" s="20">
        <v>115</v>
      </c>
      <c r="D118" s="21">
        <f t="shared" si="1"/>
        <v>0</v>
      </c>
    </row>
    <row r="119" spans="3:4" x14ac:dyDescent="0.2">
      <c r="C119" s="20">
        <v>116</v>
      </c>
      <c r="D119" s="21">
        <f t="shared" si="1"/>
        <v>0</v>
      </c>
    </row>
    <row r="120" spans="3:4" x14ac:dyDescent="0.2">
      <c r="C120" s="20">
        <v>117</v>
      </c>
      <c r="D120" s="21">
        <f t="shared" si="1"/>
        <v>0</v>
      </c>
    </row>
    <row r="121" spans="3:4" x14ac:dyDescent="0.2">
      <c r="C121" s="20">
        <v>118</v>
      </c>
      <c r="D121" s="21">
        <f t="shared" si="1"/>
        <v>0</v>
      </c>
    </row>
    <row r="122" spans="3:4" x14ac:dyDescent="0.2">
      <c r="C122" s="20">
        <v>119</v>
      </c>
      <c r="D122" s="21">
        <f t="shared" si="1"/>
        <v>0</v>
      </c>
    </row>
    <row r="123" spans="3:4" x14ac:dyDescent="0.2">
      <c r="C123" s="20">
        <v>120</v>
      </c>
      <c r="D123" s="21">
        <f t="shared" si="1"/>
        <v>0</v>
      </c>
    </row>
    <row r="124" spans="3:4" x14ac:dyDescent="0.2">
      <c r="C124" s="20">
        <v>121</v>
      </c>
      <c r="D124" s="21">
        <f t="shared" si="1"/>
        <v>0</v>
      </c>
    </row>
    <row r="125" spans="3:4" x14ac:dyDescent="0.2">
      <c r="C125" s="20">
        <v>122</v>
      </c>
      <c r="D125" s="21">
        <f t="shared" si="1"/>
        <v>0</v>
      </c>
    </row>
    <row r="126" spans="3:4" x14ac:dyDescent="0.2">
      <c r="C126" s="20">
        <v>123</v>
      </c>
      <c r="D126" s="21">
        <f t="shared" si="1"/>
        <v>0</v>
      </c>
    </row>
    <row r="127" spans="3:4" x14ac:dyDescent="0.2">
      <c r="C127" s="20">
        <v>124</v>
      </c>
      <c r="D127" s="21">
        <f t="shared" si="1"/>
        <v>0</v>
      </c>
    </row>
    <row r="128" spans="3:4" x14ac:dyDescent="0.2">
      <c r="C128" s="20">
        <v>125</v>
      </c>
      <c r="D128" s="21">
        <f>INDEX($E$4:$G$503,$C128,$A$1)</f>
        <v>0</v>
      </c>
    </row>
    <row r="129" spans="3:4" x14ac:dyDescent="0.2">
      <c r="C129" s="20">
        <v>126</v>
      </c>
      <c r="D129" s="21">
        <f t="shared" si="1"/>
        <v>0</v>
      </c>
    </row>
    <row r="130" spans="3:4" x14ac:dyDescent="0.2">
      <c r="C130" s="20">
        <v>127</v>
      </c>
      <c r="D130" s="21">
        <f t="shared" si="1"/>
        <v>0</v>
      </c>
    </row>
    <row r="131" spans="3:4" x14ac:dyDescent="0.2">
      <c r="C131" s="20">
        <v>128</v>
      </c>
      <c r="D131" s="21">
        <f t="shared" si="1"/>
        <v>0</v>
      </c>
    </row>
    <row r="132" spans="3:4" x14ac:dyDescent="0.2">
      <c r="C132" s="20">
        <v>129</v>
      </c>
      <c r="D132" s="21">
        <f>INDEX($E$4:$G$503,$C132,$A$1)</f>
        <v>0</v>
      </c>
    </row>
    <row r="133" spans="3:4" x14ac:dyDescent="0.2">
      <c r="C133" s="20">
        <v>130</v>
      </c>
      <c r="D133" s="21">
        <f t="shared" ref="D133:D178" si="2">INDEX($E$4:$G$503,$C133,$A$1)</f>
        <v>0</v>
      </c>
    </row>
    <row r="134" spans="3:4" x14ac:dyDescent="0.2">
      <c r="C134" s="20">
        <v>131</v>
      </c>
      <c r="D134" s="21">
        <f t="shared" si="2"/>
        <v>0</v>
      </c>
    </row>
    <row r="135" spans="3:4" x14ac:dyDescent="0.2">
      <c r="C135" s="20">
        <v>132</v>
      </c>
      <c r="D135" s="21">
        <f t="shared" si="2"/>
        <v>0</v>
      </c>
    </row>
    <row r="136" spans="3:4" x14ac:dyDescent="0.2">
      <c r="C136" s="20">
        <v>133</v>
      </c>
      <c r="D136" s="21">
        <f t="shared" si="2"/>
        <v>0</v>
      </c>
    </row>
    <row r="137" spans="3:4" x14ac:dyDescent="0.2">
      <c r="C137" s="20">
        <v>134</v>
      </c>
      <c r="D137" s="21">
        <f t="shared" si="2"/>
        <v>0</v>
      </c>
    </row>
    <row r="138" spans="3:4" x14ac:dyDescent="0.2">
      <c r="C138" s="20">
        <v>135</v>
      </c>
      <c r="D138" s="21">
        <f t="shared" si="2"/>
        <v>0</v>
      </c>
    </row>
    <row r="139" spans="3:4" x14ac:dyDescent="0.2">
      <c r="C139" s="20">
        <v>136</v>
      </c>
      <c r="D139" s="21">
        <f t="shared" si="2"/>
        <v>0</v>
      </c>
    </row>
    <row r="140" spans="3:4" x14ac:dyDescent="0.2">
      <c r="C140" s="20">
        <v>137</v>
      </c>
      <c r="D140" s="21">
        <f t="shared" si="2"/>
        <v>0</v>
      </c>
    </row>
    <row r="141" spans="3:4" x14ac:dyDescent="0.2">
      <c r="C141" s="20">
        <v>138</v>
      </c>
      <c r="D141" s="21">
        <f t="shared" si="2"/>
        <v>0</v>
      </c>
    </row>
    <row r="142" spans="3:4" x14ac:dyDescent="0.2">
      <c r="C142" s="20">
        <v>139</v>
      </c>
      <c r="D142" s="21">
        <f t="shared" si="2"/>
        <v>0</v>
      </c>
    </row>
    <row r="143" spans="3:4" x14ac:dyDescent="0.2">
      <c r="C143" s="20">
        <v>140</v>
      </c>
      <c r="D143" s="21">
        <f t="shared" si="2"/>
        <v>0</v>
      </c>
    </row>
    <row r="144" spans="3:4" x14ac:dyDescent="0.2">
      <c r="C144" s="20">
        <v>141</v>
      </c>
      <c r="D144" s="21">
        <f t="shared" si="2"/>
        <v>0</v>
      </c>
    </row>
    <row r="145" spans="3:4" x14ac:dyDescent="0.2">
      <c r="C145" s="20">
        <v>142</v>
      </c>
      <c r="D145" s="21">
        <f t="shared" si="2"/>
        <v>0</v>
      </c>
    </row>
    <row r="146" spans="3:4" x14ac:dyDescent="0.2">
      <c r="C146" s="20">
        <v>143</v>
      </c>
      <c r="D146" s="21">
        <f t="shared" si="2"/>
        <v>0</v>
      </c>
    </row>
    <row r="147" spans="3:4" x14ac:dyDescent="0.2">
      <c r="C147" s="20">
        <v>144</v>
      </c>
      <c r="D147" s="21">
        <f t="shared" si="2"/>
        <v>0</v>
      </c>
    </row>
    <row r="148" spans="3:4" x14ac:dyDescent="0.2">
      <c r="C148" s="20">
        <v>145</v>
      </c>
      <c r="D148" s="21">
        <f t="shared" si="2"/>
        <v>0</v>
      </c>
    </row>
    <row r="149" spans="3:4" x14ac:dyDescent="0.2">
      <c r="C149" s="20">
        <v>146</v>
      </c>
      <c r="D149" s="21">
        <f t="shared" si="2"/>
        <v>0</v>
      </c>
    </row>
    <row r="150" spans="3:4" x14ac:dyDescent="0.2">
      <c r="C150" s="20">
        <v>147</v>
      </c>
      <c r="D150" s="21">
        <f t="shared" si="2"/>
        <v>0</v>
      </c>
    </row>
    <row r="151" spans="3:4" x14ac:dyDescent="0.2">
      <c r="C151" s="20">
        <v>148</v>
      </c>
      <c r="D151" s="21">
        <f t="shared" si="2"/>
        <v>0</v>
      </c>
    </row>
    <row r="152" spans="3:4" x14ac:dyDescent="0.2">
      <c r="C152" s="20">
        <v>149</v>
      </c>
      <c r="D152" s="21">
        <f t="shared" si="2"/>
        <v>0</v>
      </c>
    </row>
    <row r="153" spans="3:4" x14ac:dyDescent="0.2">
      <c r="C153" s="20">
        <v>150</v>
      </c>
      <c r="D153" s="21">
        <f t="shared" si="2"/>
        <v>0</v>
      </c>
    </row>
    <row r="154" spans="3:4" x14ac:dyDescent="0.2">
      <c r="C154" s="20">
        <v>151</v>
      </c>
      <c r="D154" s="21">
        <f t="shared" si="2"/>
        <v>0</v>
      </c>
    </row>
    <row r="155" spans="3:4" x14ac:dyDescent="0.2">
      <c r="C155" s="20">
        <v>152</v>
      </c>
      <c r="D155" s="21">
        <f t="shared" si="2"/>
        <v>0</v>
      </c>
    </row>
    <row r="156" spans="3:4" x14ac:dyDescent="0.2">
      <c r="C156" s="20">
        <v>153</v>
      </c>
      <c r="D156" s="21">
        <f t="shared" si="2"/>
        <v>0</v>
      </c>
    </row>
    <row r="157" spans="3:4" x14ac:dyDescent="0.2">
      <c r="C157" s="20">
        <v>154</v>
      </c>
      <c r="D157" s="21">
        <f t="shared" si="2"/>
        <v>0</v>
      </c>
    </row>
    <row r="158" spans="3:4" x14ac:dyDescent="0.2">
      <c r="C158" s="20">
        <v>155</v>
      </c>
      <c r="D158" s="21">
        <f t="shared" si="2"/>
        <v>0</v>
      </c>
    </row>
    <row r="159" spans="3:4" x14ac:dyDescent="0.2">
      <c r="C159" s="20">
        <v>156</v>
      </c>
      <c r="D159" s="21">
        <f t="shared" si="2"/>
        <v>0</v>
      </c>
    </row>
    <row r="160" spans="3:4" x14ac:dyDescent="0.2">
      <c r="C160" s="20">
        <v>157</v>
      </c>
      <c r="D160" s="21">
        <f t="shared" si="2"/>
        <v>0</v>
      </c>
    </row>
    <row r="161" spans="3:4" x14ac:dyDescent="0.2">
      <c r="C161" s="20">
        <v>158</v>
      </c>
      <c r="D161" s="21">
        <f t="shared" si="2"/>
        <v>0</v>
      </c>
    </row>
    <row r="162" spans="3:4" x14ac:dyDescent="0.2">
      <c r="C162" s="20">
        <v>159</v>
      </c>
      <c r="D162" s="21">
        <f t="shared" si="2"/>
        <v>0</v>
      </c>
    </row>
    <row r="163" spans="3:4" x14ac:dyDescent="0.2">
      <c r="C163" s="20">
        <v>160</v>
      </c>
      <c r="D163" s="21">
        <f t="shared" si="2"/>
        <v>0</v>
      </c>
    </row>
    <row r="164" spans="3:4" x14ac:dyDescent="0.2">
      <c r="C164" s="20">
        <v>161</v>
      </c>
      <c r="D164" s="21">
        <f t="shared" si="2"/>
        <v>0</v>
      </c>
    </row>
    <row r="165" spans="3:4" x14ac:dyDescent="0.2">
      <c r="C165" s="20">
        <v>162</v>
      </c>
      <c r="D165" s="21">
        <f t="shared" si="2"/>
        <v>0</v>
      </c>
    </row>
    <row r="166" spans="3:4" x14ac:dyDescent="0.2">
      <c r="C166" s="20">
        <v>163</v>
      </c>
      <c r="D166" s="21">
        <f t="shared" si="2"/>
        <v>0</v>
      </c>
    </row>
    <row r="167" spans="3:4" x14ac:dyDescent="0.2">
      <c r="C167" s="20">
        <v>164</v>
      </c>
      <c r="D167" s="21">
        <f t="shared" si="2"/>
        <v>0</v>
      </c>
    </row>
    <row r="168" spans="3:4" x14ac:dyDescent="0.2">
      <c r="C168" s="20">
        <v>165</v>
      </c>
      <c r="D168" s="21">
        <f t="shared" si="2"/>
        <v>0</v>
      </c>
    </row>
    <row r="169" spans="3:4" x14ac:dyDescent="0.2">
      <c r="C169" s="20">
        <v>166</v>
      </c>
      <c r="D169" s="21">
        <f t="shared" si="2"/>
        <v>0</v>
      </c>
    </row>
    <row r="170" spans="3:4" x14ac:dyDescent="0.2">
      <c r="C170" s="20">
        <v>167</v>
      </c>
      <c r="D170" s="21">
        <f t="shared" si="2"/>
        <v>0</v>
      </c>
    </row>
    <row r="171" spans="3:4" x14ac:dyDescent="0.2">
      <c r="C171" s="20">
        <v>168</v>
      </c>
      <c r="D171" s="21">
        <f t="shared" si="2"/>
        <v>0</v>
      </c>
    </row>
    <row r="172" spans="3:4" x14ac:dyDescent="0.2">
      <c r="C172" s="20">
        <v>169</v>
      </c>
      <c r="D172" s="21">
        <f t="shared" si="2"/>
        <v>0</v>
      </c>
    </row>
    <row r="173" spans="3:4" x14ac:dyDescent="0.2">
      <c r="C173" s="20">
        <v>170</v>
      </c>
      <c r="D173" s="21">
        <f t="shared" si="2"/>
        <v>0</v>
      </c>
    </row>
    <row r="174" spans="3:4" x14ac:dyDescent="0.2">
      <c r="C174" s="20">
        <v>171</v>
      </c>
      <c r="D174" s="21">
        <f t="shared" si="2"/>
        <v>0</v>
      </c>
    </row>
    <row r="175" spans="3:4" x14ac:dyDescent="0.2">
      <c r="C175" s="20">
        <v>172</v>
      </c>
      <c r="D175" s="21">
        <f t="shared" si="2"/>
        <v>0</v>
      </c>
    </row>
    <row r="176" spans="3:4" x14ac:dyDescent="0.2">
      <c r="C176" s="20">
        <v>173</v>
      </c>
      <c r="D176" s="21">
        <f t="shared" si="2"/>
        <v>0</v>
      </c>
    </row>
    <row r="177" spans="3:4" x14ac:dyDescent="0.2">
      <c r="C177" s="20">
        <v>174</v>
      </c>
      <c r="D177" s="21">
        <f t="shared" si="2"/>
        <v>0</v>
      </c>
    </row>
    <row r="178" spans="3:4" x14ac:dyDescent="0.2">
      <c r="C178" s="20">
        <v>175</v>
      </c>
      <c r="D178" s="21">
        <f t="shared" si="2"/>
        <v>0</v>
      </c>
    </row>
  </sheetData>
  <dataValidations count="1">
    <dataValidation type="list" allowBlank="1" showInputMessage="1" showErrorMessage="1" sqref="C1" xr:uid="{4435D264-8080-444F-AD45-AFF946C81575}">
      <formula1>$H$1:$H$3</formula1>
    </dataValidation>
  </dataValidations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4" ma:contentTypeDescription="Create a new document." ma:contentTypeScope="" ma:versionID="9d07c6dbc0196e2e7b761fdacc709c74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8818bfa48a71c6817b45c78c14871a4e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9415a2c-3045-4769-8042-b2d573daa356">SKCW24DMUQ4M-227545371-576927</_dlc_DocId>
    <lcf76f155ced4ddcb4097134ff3c332f xmlns="f9ded8a6-640d-4e2b-81aa-3f415abfbf2d">
      <Terms xmlns="http://schemas.microsoft.com/office/infopath/2007/PartnerControls"/>
    </lcf76f155ced4ddcb4097134ff3c332f>
    <TaxCatchAll xmlns="19415a2c-3045-4769-8042-b2d573daa356" xsi:nil="true"/>
    <_dlc_DocIdUrl xmlns="19415a2c-3045-4769-8042-b2d573daa356">
      <Url>https://mst239701.sharepoint.com/sites/Files/_layouts/15/DocIdRedir.aspx?ID=SKCW24DMUQ4M-227545371-576927</Url>
      <Description>SKCW24DMUQ4M-227545371-576927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E315DD-528A-423E-97DD-FFED4D719B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DC66C97-AF81-4715-94D4-48DC30A54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ADD55E-69D8-4ACA-9518-6EF34221A89A}">
  <ds:schemaRefs>
    <ds:schemaRef ds:uri="f9ded8a6-640d-4e2b-81aa-3f415abfbf2d"/>
    <ds:schemaRef ds:uri="http://purl.org/dc/terms/"/>
    <ds:schemaRef ds:uri="19415a2c-3045-4769-8042-b2d573daa356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3D99E453-32DA-4894-8F98-FA5B9DFADA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Eingabe</vt:lpstr>
      <vt:lpstr>Uebersicht</vt:lpstr>
      <vt:lpstr>Uebersetzungen</vt:lpstr>
      <vt:lpstr>Eingabe!Druckbereich</vt:lpstr>
      <vt:lpstr>Uebersicht!Druckbereich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Steiner</dc:creator>
  <cp:lastModifiedBy>Stefanie Steiner | Minergie</cp:lastModifiedBy>
  <cp:lastPrinted>2023-06-07T13:44:57Z</cp:lastPrinted>
  <dcterms:created xsi:type="dcterms:W3CDTF">2023-05-30T12:14:13Z</dcterms:created>
  <dcterms:modified xsi:type="dcterms:W3CDTF">2023-09-11T10:29:51Z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0x010100B21CFC628C8AF54D8914200001F2C70D</vt:lpwstr>
  </property>
  <property fmtid="{D5CDD505-2E9C-101B-9397-08002B2CF9AE}" pid="3" name="_dlc_DocIdItemGuid">
    <vt:lpwstr>e911b639-39a0-47c2-ae33-c758223d4d30</vt:lpwstr>
  </property>
  <property fmtid="{D5CDD505-2E9C-101B-9397-08002B2CF9AE}" pid="4" name="MediaServiceImageTags">
    <vt:lpwstr/>
  </property>
</Properties>
</file>