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st239701.sharepoint.com/sites/Files/01Daten/03_Zertifizierung/01_Dokumente/05_Minergie-Areal/04_Hilfstools_Vorlagen/02_Arbeitsversion/"/>
    </mc:Choice>
  </mc:AlternateContent>
  <xr:revisionPtr revIDLastSave="57" documentId="8_{4DCDB29A-2710-49F1-A79D-5F2BE1B3107E}" xr6:coauthVersionLast="47" xr6:coauthVersionMax="47" xr10:uidLastSave="{4A2891F0-390B-4FDD-8E1A-7065989BBE75}"/>
  <workbookProtection workbookAlgorithmName="SHA-512" workbookHashValue="N12VAK1jaWorkJV+A+6SX3B/NnSrvJLWOln8y0rf0YmsA3mlD6x8xIpzShUM5DmveYkkkMKt0V8M7pdaORScow==" workbookSaltValue="siFTFOfUfdp4qTyOPsy11w==" workbookSpinCount="100000" lockStructure="1"/>
  <bookViews>
    <workbookView xWindow="-120" yWindow="-120" windowWidth="29040" windowHeight="15840" xr2:uid="{9F7C1D0B-8BF0-4810-B46E-315A2BB8E631}"/>
  </bookViews>
  <sheets>
    <sheet name="Anleitung" sheetId="5" r:id="rId1"/>
    <sheet name="Eingabe" sheetId="1" r:id="rId2"/>
    <sheet name="Uebersicht" sheetId="3" r:id="rId3"/>
    <sheet name="Listen" sheetId="2" state="hidden" r:id="rId4"/>
    <sheet name="Aenderungsjournal" sheetId="6" state="hidden" r:id="rId5"/>
    <sheet name="Uebersetzung" sheetId="4" state="hidden" r:id="rId6"/>
  </sheets>
  <definedNames>
    <definedName name="AusnahmeAreal" localSheetId="0">Anleitung!#REF!</definedName>
    <definedName name="AusnahmeAreal">Eingabe!$E$17:$X$17</definedName>
    <definedName name="BauvorhabenAreal" localSheetId="0">Anleitung!#REF!</definedName>
    <definedName name="BauvorhabenAreal">Eingabe!$E$18:$X$18</definedName>
    <definedName name="Bestandesbau">Listen!$B$63</definedName>
    <definedName name="BestAusnahme">Listen!$B$27</definedName>
    <definedName name="_xlnm.Print_Area" localSheetId="0">Anleitung!$A$1:$G$19</definedName>
    <definedName name="_xlnm.Print_Area" localSheetId="1">Eingabe!$A$1:$X$68</definedName>
    <definedName name="_xlnm.Print_Area" localSheetId="2">Uebersicht!$A$1:$G$51</definedName>
    <definedName name="_xlnm.Print_Titles" localSheetId="1">Eingabe!$C:$D,Eingabe!$8:$8</definedName>
    <definedName name="EBFAreal" localSheetId="0">Anleitung!#REF!</definedName>
    <definedName name="EBFAreal">Eingabe!$E$15:$X$15</definedName>
    <definedName name="EBFRückbau" localSheetId="0">Anleitung!#REF!</definedName>
    <definedName name="EBFRückbau">Eingabe!$E$50:$X$50</definedName>
    <definedName name="Erneuerung">Listen!$B$29</definedName>
    <definedName name="GEAK_SNBS">Listen!$B$31</definedName>
    <definedName name="Ja">Listen!$B$79</definedName>
    <definedName name="Leistung_Solar">Listen!$B$82</definedName>
    <definedName name="LST_Erneuerung">Listen!$B$29:$B$34</definedName>
    <definedName name="LST_JaNein">Listen!$B$79:$B$80</definedName>
    <definedName name="LST_Leer">Listen!$B$91</definedName>
    <definedName name="LST_PV_Zulässigkeit">Listen!$B$85:$B$86</definedName>
    <definedName name="LSTArt">Listen!$B$24:$B$27</definedName>
    <definedName name="LSTGebKat">Listen!$B$2:$B$13</definedName>
    <definedName name="LSTMinStandard">Listen!$B$16:$B$22</definedName>
    <definedName name="LSTNeubau">Listen!$B$62:$B$63</definedName>
    <definedName name="LSTWärme">Listen!$B$39:$B$61</definedName>
    <definedName name="Minergie">Listen!$B$16</definedName>
    <definedName name="MinergieA">Listen!$B$17</definedName>
    <definedName name="MinergieAEco">Listen!$B$20</definedName>
    <definedName name="MinergieEco">Listen!$B$19</definedName>
    <definedName name="MinergieP">Listen!$B$18</definedName>
    <definedName name="MinergiePEco">Listen!$B$21</definedName>
    <definedName name="MinergieZert">Listen!$B$32</definedName>
    <definedName name="MKZAnforderungAreal" localSheetId="0">Anleitung!#REF!</definedName>
    <definedName name="MKZPWAreal" localSheetId="0">Anleitung!#REF!</definedName>
    <definedName name="Nein">Listen!$B$80</definedName>
    <definedName name="Neubau">Listen!$B$62</definedName>
    <definedName name="NeubauJa">Listen!#REF!</definedName>
    <definedName name="PV_nicht_zugelassen">Listen!$B$86</definedName>
    <definedName name="PV_Zugelassen">Listen!$B$85</definedName>
    <definedName name="PVAnforderungAreal" localSheetId="0">Anleitung!#REF!</definedName>
    <definedName name="PVPWAreal" localSheetId="0">Anleitung!#REF!</definedName>
    <definedName name="QhAnforderungAreal" localSheetId="0">Anleitung!#REF!</definedName>
    <definedName name="QhPWAreal" localSheetId="0">Anleitung!#REF!</definedName>
    <definedName name="Schutzinv">Listen!$B$33</definedName>
    <definedName name="StandardAreal" localSheetId="0">Anleitung!#REF!</definedName>
    <definedName name="Standardoffen">Listen!$B$22</definedName>
    <definedName name="Systemerneuerung">Listen!$B$30</definedName>
    <definedName name="THGEAnforderungAreal" localSheetId="0">Anleitung!#REF!</definedName>
    <definedName name="THGEPWAreal" localSheetId="0">Anleitung!#REF!</definedName>
    <definedName name="WeitereAusnahmen">Listen!$B$34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2" l="1"/>
  <c r="E4" i="2"/>
  <c r="E5" i="2"/>
  <c r="E6" i="2"/>
  <c r="E7" i="2"/>
  <c r="E8" i="2"/>
  <c r="E9" i="2"/>
  <c r="E10" i="2"/>
  <c r="E11" i="2"/>
  <c r="E12" i="2"/>
  <c r="E13" i="2"/>
  <c r="E2" i="2"/>
  <c r="E13" i="1"/>
  <c r="E15" i="1" s="1"/>
  <c r="H44" i="1"/>
  <c r="I44" i="1"/>
  <c r="J44" i="1"/>
  <c r="K44" i="1"/>
  <c r="L44" i="1"/>
  <c r="M44" i="1"/>
  <c r="N44" i="1"/>
  <c r="O44" i="1"/>
  <c r="P44" i="1"/>
  <c r="Q44" i="1"/>
  <c r="R44" i="1"/>
  <c r="S44" i="1"/>
  <c r="T44" i="1"/>
  <c r="U44" i="1"/>
  <c r="V44" i="1"/>
  <c r="W44" i="1"/>
  <c r="X44" i="1"/>
  <c r="F13" i="1"/>
  <c r="F15" i="1" s="1"/>
  <c r="G13" i="1"/>
  <c r="G15" i="1" s="1"/>
  <c r="H13" i="1"/>
  <c r="H15" i="1" s="1"/>
  <c r="I13" i="1"/>
  <c r="J13" i="1"/>
  <c r="K13" i="1"/>
  <c r="L13" i="1"/>
  <c r="L15" i="1" s="1"/>
  <c r="M13" i="1"/>
  <c r="M15" i="1" s="1"/>
  <c r="N13" i="1"/>
  <c r="N15" i="1" s="1"/>
  <c r="O13" i="1"/>
  <c r="O15" i="1" s="1"/>
  <c r="P13" i="1"/>
  <c r="P15" i="1" s="1"/>
  <c r="Q13" i="1"/>
  <c r="Q15" i="1" s="1"/>
  <c r="R13" i="1"/>
  <c r="R15" i="1" s="1"/>
  <c r="S13" i="1"/>
  <c r="S15" i="1" s="1"/>
  <c r="T13" i="1"/>
  <c r="T15" i="1" s="1"/>
  <c r="U13" i="1"/>
  <c r="U15" i="1" s="1"/>
  <c r="V13" i="1"/>
  <c r="V15" i="1" s="1"/>
  <c r="W13" i="1"/>
  <c r="W15" i="1" s="1"/>
  <c r="X13" i="1"/>
  <c r="X15" i="1" s="1"/>
  <c r="I15" i="1"/>
  <c r="J15" i="1"/>
  <c r="K15" i="1"/>
  <c r="F22" i="3" l="1"/>
  <c r="F26" i="1" l="1"/>
  <c r="G26" i="1"/>
  <c r="H26" i="1"/>
  <c r="I26" i="1"/>
  <c r="J26" i="1"/>
  <c r="K26" i="1"/>
  <c r="L26" i="1"/>
  <c r="M26" i="1"/>
  <c r="N26" i="1"/>
  <c r="O26" i="1"/>
  <c r="P26" i="1"/>
  <c r="Q26" i="1"/>
  <c r="R26" i="1"/>
  <c r="S26" i="1"/>
  <c r="T26" i="1"/>
  <c r="U26" i="1"/>
  <c r="V26" i="1"/>
  <c r="W26" i="1"/>
  <c r="X26" i="1"/>
  <c r="F29" i="1"/>
  <c r="G29" i="1"/>
  <c r="H29" i="1"/>
  <c r="I29" i="1"/>
  <c r="J29" i="1"/>
  <c r="K29" i="1"/>
  <c r="L29" i="1"/>
  <c r="M29" i="1"/>
  <c r="N29" i="1"/>
  <c r="O29" i="1"/>
  <c r="P29" i="1"/>
  <c r="Q29" i="1"/>
  <c r="R29" i="1"/>
  <c r="S29" i="1"/>
  <c r="T29" i="1"/>
  <c r="U29" i="1"/>
  <c r="V29" i="1"/>
  <c r="W29" i="1"/>
  <c r="X29" i="1"/>
  <c r="F32" i="1"/>
  <c r="G32" i="1"/>
  <c r="H32" i="1"/>
  <c r="I32" i="1"/>
  <c r="J32" i="1"/>
  <c r="K32" i="1"/>
  <c r="L32" i="1"/>
  <c r="M32" i="1"/>
  <c r="N32" i="1"/>
  <c r="O32" i="1"/>
  <c r="P32" i="1"/>
  <c r="Q32" i="1"/>
  <c r="R32" i="1"/>
  <c r="S32" i="1"/>
  <c r="T32" i="1"/>
  <c r="U32" i="1"/>
  <c r="V32" i="1"/>
  <c r="W32" i="1"/>
  <c r="X32" i="1"/>
  <c r="F35" i="1"/>
  <c r="G35" i="1"/>
  <c r="H35" i="1"/>
  <c r="I35" i="1"/>
  <c r="J35" i="1"/>
  <c r="K35" i="1"/>
  <c r="L35" i="1"/>
  <c r="M35" i="1"/>
  <c r="N35" i="1"/>
  <c r="O35" i="1"/>
  <c r="P35" i="1"/>
  <c r="Q35" i="1"/>
  <c r="R35" i="1"/>
  <c r="S35" i="1"/>
  <c r="T35" i="1"/>
  <c r="U35" i="1"/>
  <c r="V35" i="1"/>
  <c r="W35" i="1"/>
  <c r="X35" i="1"/>
  <c r="F38" i="1"/>
  <c r="G38" i="1"/>
  <c r="H38" i="1"/>
  <c r="I38" i="1"/>
  <c r="J38" i="1"/>
  <c r="K38" i="1"/>
  <c r="L38" i="1"/>
  <c r="M38" i="1"/>
  <c r="N38" i="1"/>
  <c r="O38" i="1"/>
  <c r="P38" i="1"/>
  <c r="Q38" i="1"/>
  <c r="R38" i="1"/>
  <c r="S38" i="1"/>
  <c r="T38" i="1"/>
  <c r="U38" i="1"/>
  <c r="V38" i="1"/>
  <c r="W38" i="1"/>
  <c r="X38" i="1"/>
  <c r="F41" i="1"/>
  <c r="G41" i="1"/>
  <c r="H41" i="1"/>
  <c r="I41" i="1"/>
  <c r="J41" i="1"/>
  <c r="K41" i="1"/>
  <c r="L41" i="1"/>
  <c r="M41" i="1"/>
  <c r="N41" i="1"/>
  <c r="O41" i="1"/>
  <c r="P41" i="1"/>
  <c r="Q41" i="1"/>
  <c r="R41" i="1"/>
  <c r="S41" i="1"/>
  <c r="T41" i="1"/>
  <c r="U41" i="1"/>
  <c r="V41" i="1"/>
  <c r="W41" i="1"/>
  <c r="X41" i="1"/>
  <c r="C68" i="2"/>
  <c r="C9" i="3"/>
  <c r="Z60" i="1" l="1"/>
  <c r="X133" i="1"/>
  <c r="H134" i="1" l="1"/>
  <c r="I134" i="1"/>
  <c r="J134" i="1"/>
  <c r="K134" i="1"/>
  <c r="L134" i="1"/>
  <c r="M134" i="1"/>
  <c r="N134" i="1"/>
  <c r="O134" i="1"/>
  <c r="P134" i="1"/>
  <c r="Q134" i="1"/>
  <c r="R134" i="1"/>
  <c r="S134" i="1"/>
  <c r="T134" i="1"/>
  <c r="U134" i="1"/>
  <c r="V134" i="1"/>
  <c r="W134" i="1"/>
  <c r="X134" i="1"/>
  <c r="E26" i="1" l="1"/>
  <c r="E74" i="1" s="1"/>
  <c r="E41" i="1"/>
  <c r="E79" i="1" s="1"/>
  <c r="E38" i="1"/>
  <c r="E78" i="1" s="1"/>
  <c r="E35" i="1"/>
  <c r="E77" i="1" s="1"/>
  <c r="E29" i="1"/>
  <c r="E75" i="1" s="1"/>
  <c r="E32" i="1"/>
  <c r="E76" i="1" s="1"/>
  <c r="E68" i="2"/>
  <c r="E114" i="1" s="1"/>
  <c r="U75" i="1" l="1"/>
  <c r="O75" i="1"/>
  <c r="G77" i="1"/>
  <c r="X75" i="1"/>
  <c r="U78" i="1"/>
  <c r="K78" i="1"/>
  <c r="R74" i="1"/>
  <c r="O79" i="1"/>
  <c r="N79" i="1"/>
  <c r="R79" i="1"/>
  <c r="H79" i="1"/>
  <c r="V75" i="1"/>
  <c r="M76" i="1"/>
  <c r="M75" i="1"/>
  <c r="F74" i="1"/>
  <c r="K76" i="1"/>
  <c r="V77" i="1"/>
  <c r="H75" i="1"/>
  <c r="X77" i="1"/>
  <c r="M78" i="1"/>
  <c r="T77" i="1"/>
  <c r="R76" i="1"/>
  <c r="G79" i="1"/>
  <c r="F79" i="1"/>
  <c r="X79" i="1"/>
  <c r="H77" i="1"/>
  <c r="L75" i="1"/>
  <c r="N75" i="1"/>
  <c r="N74" i="1"/>
  <c r="J75" i="1"/>
  <c r="N77" i="1"/>
  <c r="X76" i="1"/>
  <c r="J78" i="1"/>
  <c r="R77" i="1"/>
  <c r="O78" i="1"/>
  <c r="I78" i="1"/>
  <c r="L79" i="1"/>
  <c r="Q74" i="1"/>
  <c r="F75" i="1"/>
  <c r="T76" i="1"/>
  <c r="W74" i="1"/>
  <c r="V74" i="1"/>
  <c r="K74" i="1"/>
  <c r="F77" i="1"/>
  <c r="H76" i="1"/>
  <c r="L77" i="1"/>
  <c r="J77" i="1"/>
  <c r="J74" i="1"/>
  <c r="R78" i="1"/>
  <c r="H78" i="1"/>
  <c r="I74" i="1"/>
  <c r="T79" i="1"/>
  <c r="S79" i="1"/>
  <c r="U76" i="1"/>
  <c r="L74" i="1"/>
  <c r="V76" i="1"/>
  <c r="U77" i="1"/>
  <c r="I76" i="1"/>
  <c r="P75" i="1"/>
  <c r="V78" i="1"/>
  <c r="Q75" i="1"/>
  <c r="S76" i="1"/>
  <c r="R75" i="1"/>
  <c r="X78" i="1"/>
  <c r="Q79" i="1"/>
  <c r="G78" i="1"/>
  <c r="W75" i="1"/>
  <c r="T74" i="1"/>
  <c r="N76" i="1"/>
  <c r="O74" i="1"/>
  <c r="W77" i="1"/>
  <c r="M77" i="1"/>
  <c r="P74" i="1"/>
  <c r="N78" i="1"/>
  <c r="T78" i="1"/>
  <c r="S77" i="1"/>
  <c r="P78" i="1"/>
  <c r="Q77" i="1"/>
  <c r="J79" i="1"/>
  <c r="M79" i="1"/>
  <c r="P79" i="1"/>
  <c r="M74" i="1"/>
  <c r="K75" i="1"/>
  <c r="H74" i="1"/>
  <c r="S75" i="1"/>
  <c r="W76" i="1"/>
  <c r="F76" i="1"/>
  <c r="L76" i="1"/>
  <c r="O77" i="1"/>
  <c r="G74" i="1"/>
  <c r="P77" i="1"/>
  <c r="F78" i="1"/>
  <c r="L78" i="1"/>
  <c r="S78" i="1"/>
  <c r="Q78" i="1"/>
  <c r="Q76" i="1"/>
  <c r="W78" i="1"/>
  <c r="U79" i="1"/>
  <c r="I75" i="1"/>
  <c r="U74" i="1"/>
  <c r="G76" i="1"/>
  <c r="T75" i="1"/>
  <c r="X74" i="1"/>
  <c r="J76" i="1"/>
  <c r="G75" i="1"/>
  <c r="P76" i="1"/>
  <c r="K77" i="1"/>
  <c r="I77" i="1"/>
  <c r="S74" i="1"/>
  <c r="W79" i="1"/>
  <c r="V79" i="1"/>
  <c r="I79" i="1"/>
  <c r="O76" i="1"/>
  <c r="K79" i="1"/>
  <c r="E80" i="1"/>
  <c r="E85" i="1" l="1"/>
  <c r="E84" i="1"/>
  <c r="E83" i="1"/>
  <c r="E86" i="1"/>
  <c r="E82" i="1"/>
  <c r="E87" i="1"/>
  <c r="G114" i="1"/>
  <c r="N114" i="1"/>
  <c r="F114" i="1"/>
  <c r="O114" i="1"/>
  <c r="W114" i="1"/>
  <c r="H114" i="1"/>
  <c r="P114" i="1"/>
  <c r="X114" i="1"/>
  <c r="S114" i="1"/>
  <c r="I114" i="1"/>
  <c r="Q114" i="1"/>
  <c r="J114" i="1"/>
  <c r="R114" i="1"/>
  <c r="K114" i="1"/>
  <c r="L114" i="1"/>
  <c r="T114" i="1"/>
  <c r="M114" i="1"/>
  <c r="U114" i="1"/>
  <c r="V114" i="1"/>
  <c r="Z45" i="1"/>
  <c r="F16" i="3" s="1"/>
  <c r="A1" i="2" l="1"/>
  <c r="A16" i="2"/>
  <c r="H3" i="4"/>
  <c r="H2" i="4"/>
  <c r="A1" i="4" s="1"/>
  <c r="H1" i="4"/>
  <c r="D195" i="4" l="1"/>
  <c r="C21" i="1" s="1"/>
  <c r="D203" i="4"/>
  <c r="D181" i="4"/>
  <c r="D189" i="4"/>
  <c r="D204" i="4"/>
  <c r="D182" i="4"/>
  <c r="D208" i="4"/>
  <c r="D187" i="4"/>
  <c r="D196" i="4"/>
  <c r="C4" i="1" s="1"/>
  <c r="D190" i="4"/>
  <c r="D188" i="4"/>
  <c r="D197" i="4"/>
  <c r="B29" i="2" s="1"/>
  <c r="D205" i="4"/>
  <c r="D183" i="4"/>
  <c r="D191" i="4"/>
  <c r="D207" i="4"/>
  <c r="D193" i="4"/>
  <c r="B86" i="2" s="1"/>
  <c r="D194" i="4"/>
  <c r="D179" i="4"/>
  <c r="D198" i="4"/>
  <c r="D206" i="4"/>
  <c r="D184" i="4"/>
  <c r="E67" i="2" s="1"/>
  <c r="D192" i="4"/>
  <c r="B85" i="2" s="1"/>
  <c r="D185" i="4"/>
  <c r="C15" i="1" s="1"/>
  <c r="D186" i="4"/>
  <c r="D180" i="4"/>
  <c r="D199" i="4"/>
  <c r="D200" i="4"/>
  <c r="D201" i="4"/>
  <c r="D202" i="4"/>
  <c r="C18" i="1" s="1"/>
  <c r="D4" i="4"/>
  <c r="D102" i="4"/>
  <c r="D176" i="4"/>
  <c r="D108" i="4"/>
  <c r="D177" i="4"/>
  <c r="B32" i="3" s="1"/>
  <c r="D170" i="4"/>
  <c r="D178" i="4"/>
  <c r="D171" i="4"/>
  <c r="D172" i="4"/>
  <c r="D36" i="4"/>
  <c r="D174" i="4"/>
  <c r="D42" i="4"/>
  <c r="D175" i="4"/>
  <c r="D173" i="4"/>
  <c r="D128" i="4"/>
  <c r="D14" i="4"/>
  <c r="D132" i="4"/>
  <c r="D160" i="4"/>
  <c r="D152" i="4"/>
  <c r="D167" i="4"/>
  <c r="D159" i="4"/>
  <c r="D151" i="4"/>
  <c r="D143" i="4"/>
  <c r="D135" i="4"/>
  <c r="D127" i="4"/>
  <c r="D166" i="4"/>
  <c r="D158" i="4"/>
  <c r="D150" i="4"/>
  <c r="D142" i="4"/>
  <c r="D134" i="4"/>
  <c r="D126" i="4"/>
  <c r="D168" i="4"/>
  <c r="D144" i="4"/>
  <c r="D136" i="4"/>
  <c r="D165" i="4"/>
  <c r="D157" i="4"/>
  <c r="D149" i="4"/>
  <c r="D141" i="4"/>
  <c r="D133" i="4"/>
  <c r="D125" i="4"/>
  <c r="D164" i="4"/>
  <c r="D156" i="4"/>
  <c r="D148" i="4"/>
  <c r="D140" i="4"/>
  <c r="D163" i="4"/>
  <c r="D155" i="4"/>
  <c r="D147" i="4"/>
  <c r="D139" i="4"/>
  <c r="D131" i="4"/>
  <c r="E2" i="1" s="1"/>
  <c r="D162" i="4"/>
  <c r="D154" i="4"/>
  <c r="D146" i="4"/>
  <c r="D138" i="4"/>
  <c r="D130" i="4"/>
  <c r="C11" i="1" s="1"/>
  <c r="D169" i="4"/>
  <c r="D161" i="4"/>
  <c r="D153" i="4"/>
  <c r="D145" i="4"/>
  <c r="D137" i="4"/>
  <c r="D129" i="4"/>
  <c r="D120" i="4"/>
  <c r="D112" i="4"/>
  <c r="D104" i="4"/>
  <c r="D96" i="4"/>
  <c r="D88" i="4"/>
  <c r="D80" i="4"/>
  <c r="D72" i="4"/>
  <c r="C2" i="3" s="1"/>
  <c r="D64" i="4"/>
  <c r="D56" i="4"/>
  <c r="C74" i="1" s="1"/>
  <c r="E141" i="1" s="1"/>
  <c r="D48" i="4"/>
  <c r="D119" i="4"/>
  <c r="D111" i="4"/>
  <c r="D103" i="4"/>
  <c r="D95" i="4"/>
  <c r="D87" i="4"/>
  <c r="D79" i="4"/>
  <c r="D71" i="4"/>
  <c r="D63" i="4"/>
  <c r="D55" i="4"/>
  <c r="D47" i="4"/>
  <c r="D113" i="4"/>
  <c r="D97" i="4"/>
  <c r="D81" i="4"/>
  <c r="D65" i="4"/>
  <c r="D57" i="4"/>
  <c r="D118" i="4"/>
  <c r="D86" i="4"/>
  <c r="D62" i="4"/>
  <c r="D117" i="4"/>
  <c r="D109" i="4"/>
  <c r="B62" i="2" s="1"/>
  <c r="D101" i="4"/>
  <c r="D93" i="4"/>
  <c r="D85" i="4"/>
  <c r="D77" i="4"/>
  <c r="D69" i="4"/>
  <c r="D61" i="4"/>
  <c r="D53" i="4"/>
  <c r="D121" i="4"/>
  <c r="D105" i="4"/>
  <c r="D89" i="4"/>
  <c r="D73" i="4"/>
  <c r="D49" i="4"/>
  <c r="D110" i="4"/>
  <c r="D94" i="4"/>
  <c r="D78" i="4"/>
  <c r="D70" i="4"/>
  <c r="D54" i="4"/>
  <c r="D124" i="4"/>
  <c r="D116" i="4"/>
  <c r="D100" i="4"/>
  <c r="D92" i="4"/>
  <c r="D84" i="4"/>
  <c r="D76" i="4"/>
  <c r="D68" i="4"/>
  <c r="D60" i="4"/>
  <c r="D52" i="4"/>
  <c r="D123" i="4"/>
  <c r="D115" i="4"/>
  <c r="D107" i="4"/>
  <c r="D99" i="4"/>
  <c r="D91" i="4"/>
  <c r="D83" i="4"/>
  <c r="D75" i="4"/>
  <c r="D67" i="4"/>
  <c r="D59" i="4"/>
  <c r="D51" i="4"/>
  <c r="D122" i="4"/>
  <c r="D114" i="4"/>
  <c r="D106" i="4"/>
  <c r="D98" i="4"/>
  <c r="D90" i="4"/>
  <c r="D82" i="4"/>
  <c r="D74" i="4"/>
  <c r="D66" i="4"/>
  <c r="D58" i="4"/>
  <c r="D50" i="4"/>
  <c r="D28" i="4"/>
  <c r="D25" i="4"/>
  <c r="D17" i="4"/>
  <c r="D9" i="4"/>
  <c r="D34" i="4"/>
  <c r="D10" i="4"/>
  <c r="D33" i="4"/>
  <c r="D40" i="4"/>
  <c r="D32" i="4"/>
  <c r="D24" i="4"/>
  <c r="D16" i="4"/>
  <c r="D8" i="4"/>
  <c r="D39" i="4"/>
  <c r="D31" i="4"/>
  <c r="D23" i="4"/>
  <c r="D15" i="4"/>
  <c r="D7" i="4"/>
  <c r="D44" i="4"/>
  <c r="D20" i="4"/>
  <c r="D12" i="4"/>
  <c r="D43" i="4"/>
  <c r="D35" i="4"/>
  <c r="D27" i="4"/>
  <c r="D19" i="4"/>
  <c r="D11" i="4"/>
  <c r="D26" i="4"/>
  <c r="D18" i="4"/>
  <c r="C17" i="1" s="1"/>
  <c r="D41" i="4"/>
  <c r="D46" i="4"/>
  <c r="D38" i="4"/>
  <c r="D30" i="4"/>
  <c r="D22" i="4"/>
  <c r="D6" i="4"/>
  <c r="D2" i="5" s="1"/>
  <c r="D45" i="4"/>
  <c r="D37" i="4"/>
  <c r="D29" i="4"/>
  <c r="D21" i="4"/>
  <c r="D13" i="4"/>
  <c r="D5" i="4"/>
  <c r="S8" i="1" l="1"/>
  <c r="B24" i="3"/>
  <c r="B7" i="3"/>
  <c r="C141" i="1"/>
  <c r="M141" i="1"/>
  <c r="C138" i="1"/>
  <c r="L141" i="1" s="1"/>
  <c r="C16" i="1"/>
  <c r="A62" i="2"/>
  <c r="M18" i="1"/>
  <c r="M23" i="1" s="1"/>
  <c r="U18" i="1"/>
  <c r="U23" i="1" s="1"/>
  <c r="F18" i="1"/>
  <c r="N18" i="1"/>
  <c r="N23" i="1" s="1"/>
  <c r="V18" i="1"/>
  <c r="V23" i="1" s="1"/>
  <c r="W18" i="1"/>
  <c r="W23" i="1" s="1"/>
  <c r="H18" i="1"/>
  <c r="H23" i="1" s="1"/>
  <c r="P18" i="1"/>
  <c r="P23" i="1" s="1"/>
  <c r="X18" i="1"/>
  <c r="X23" i="1" s="1"/>
  <c r="O18" i="1"/>
  <c r="O23" i="1" s="1"/>
  <c r="I18" i="1"/>
  <c r="I23" i="1" s="1"/>
  <c r="Q18" i="1"/>
  <c r="Q23" i="1" s="1"/>
  <c r="R18" i="1"/>
  <c r="R23" i="1" s="1"/>
  <c r="J18" i="1"/>
  <c r="J23" i="1" s="1"/>
  <c r="K18" i="1"/>
  <c r="K23" i="1" s="1"/>
  <c r="S18" i="1"/>
  <c r="S23" i="1" s="1"/>
  <c r="L18" i="1"/>
  <c r="L23" i="1" s="1"/>
  <c r="T18" i="1"/>
  <c r="T23" i="1" s="1"/>
  <c r="G18" i="1"/>
  <c r="E18" i="1"/>
  <c r="E44" i="1" s="1"/>
  <c r="B63" i="2"/>
  <c r="A29" i="2"/>
  <c r="C106" i="1"/>
  <c r="C98" i="1"/>
  <c r="C119" i="1"/>
  <c r="C90" i="1"/>
  <c r="C82" i="1"/>
  <c r="E2" i="5"/>
  <c r="F2" i="1"/>
  <c r="E2" i="3"/>
  <c r="C18" i="3"/>
  <c r="G2" i="5"/>
  <c r="B19" i="5"/>
  <c r="B53" i="2"/>
  <c r="B40" i="2"/>
  <c r="B11" i="2"/>
  <c r="C151" i="1" s="1"/>
  <c r="L151" i="1" s="1"/>
  <c r="B70" i="2"/>
  <c r="C51" i="1"/>
  <c r="C20" i="1"/>
  <c r="C10" i="1"/>
  <c r="B8" i="2"/>
  <c r="C148" i="1" s="1"/>
  <c r="L148" i="1" s="1"/>
  <c r="B46" i="2"/>
  <c r="B56" i="2"/>
  <c r="S5" i="1"/>
  <c r="B6" i="3"/>
  <c r="C9" i="1"/>
  <c r="C61" i="1"/>
  <c r="C38" i="2"/>
  <c r="B45" i="2"/>
  <c r="C48" i="1"/>
  <c r="C49" i="1"/>
  <c r="B48" i="2"/>
  <c r="B13" i="2"/>
  <c r="C153" i="1" s="1"/>
  <c r="L153" i="1" s="1"/>
  <c r="AA60" i="1"/>
  <c r="B9" i="2"/>
  <c r="C149" i="1" s="1"/>
  <c r="L149" i="1" s="1"/>
  <c r="C114" i="1"/>
  <c r="B4" i="5"/>
  <c r="A91" i="2"/>
  <c r="B17" i="3"/>
  <c r="C47" i="1"/>
  <c r="C68" i="1"/>
  <c r="B3" i="2"/>
  <c r="C143" i="1" s="1"/>
  <c r="L143" i="1" s="1"/>
  <c r="B2" i="2"/>
  <c r="B18" i="2"/>
  <c r="B73" i="2" s="1"/>
  <c r="B44" i="2"/>
  <c r="P116" i="1" s="1"/>
  <c r="B55" i="2"/>
  <c r="B41" i="2"/>
  <c r="A82" i="2"/>
  <c r="B25" i="3"/>
  <c r="B5" i="3"/>
  <c r="B48" i="3"/>
  <c r="B18" i="3"/>
  <c r="C50" i="1"/>
  <c r="B4" i="2"/>
  <c r="C144" i="1" s="1"/>
  <c r="L144" i="1" s="1"/>
  <c r="B52" i="2"/>
  <c r="B19" i="2"/>
  <c r="B74" i="2" s="1"/>
  <c r="B12" i="2"/>
  <c r="C152" i="1" s="1"/>
  <c r="L152" i="1" s="1"/>
  <c r="B18" i="5"/>
  <c r="B49" i="2"/>
  <c r="B46" i="3"/>
  <c r="C52" i="1"/>
  <c r="C22" i="1"/>
  <c r="C43" i="1"/>
  <c r="A85" i="2"/>
  <c r="AA136" i="1"/>
  <c r="C136" i="1"/>
  <c r="B16" i="3"/>
  <c r="B15" i="3"/>
  <c r="C55" i="1"/>
  <c r="C59" i="1"/>
  <c r="C32" i="1"/>
  <c r="C29" i="1"/>
  <c r="C41" i="1"/>
  <c r="C26" i="1"/>
  <c r="C35" i="1"/>
  <c r="C38" i="1"/>
  <c r="C58" i="1"/>
  <c r="C134" i="1" s="1"/>
  <c r="C57" i="1"/>
  <c r="C133" i="1" s="1"/>
  <c r="C25" i="1"/>
  <c r="C31" i="1"/>
  <c r="C28" i="1"/>
  <c r="C40" i="1"/>
  <c r="C37" i="1"/>
  <c r="C34" i="1"/>
  <c r="B22" i="3"/>
  <c r="C140" i="1"/>
  <c r="B31" i="3"/>
  <c r="C54" i="1"/>
  <c r="B10" i="3"/>
  <c r="B11" i="3"/>
  <c r="B12" i="3"/>
  <c r="C97" i="1"/>
  <c r="C104" i="1" s="1"/>
  <c r="C105" i="1"/>
  <c r="C112" i="1" s="1"/>
  <c r="C44" i="1"/>
  <c r="C118" i="1"/>
  <c r="C53" i="1"/>
  <c r="C45" i="1"/>
  <c r="E8" i="1"/>
  <c r="N8" i="1"/>
  <c r="O8" i="1"/>
  <c r="P8" i="1"/>
  <c r="Q8" i="1"/>
  <c r="R8" i="1"/>
  <c r="C42" i="1"/>
  <c r="B7" i="5"/>
  <c r="B47" i="2"/>
  <c r="B22" i="2"/>
  <c r="B77" i="2" s="1"/>
  <c r="B6" i="2"/>
  <c r="C12" i="1"/>
  <c r="B49" i="3"/>
  <c r="B43" i="2"/>
  <c r="B20" i="3"/>
  <c r="B10" i="2"/>
  <c r="B51" i="2"/>
  <c r="B16" i="2"/>
  <c r="B71" i="2" s="1"/>
  <c r="D1" i="2"/>
  <c r="C70" i="1"/>
  <c r="B47" i="3"/>
  <c r="E14" i="3"/>
  <c r="B57" i="2"/>
  <c r="B42" i="2"/>
  <c r="B4" i="3"/>
  <c r="B14" i="3"/>
  <c r="B20" i="2"/>
  <c r="B75" i="2" s="1"/>
  <c r="B21" i="2"/>
  <c r="B76" i="2" s="1"/>
  <c r="C60" i="1"/>
  <c r="B10" i="5"/>
  <c r="B50" i="2"/>
  <c r="B23" i="3"/>
  <c r="B17" i="2"/>
  <c r="B72" i="2" s="1"/>
  <c r="B54" i="2"/>
  <c r="B5" i="2"/>
  <c r="B58" i="2"/>
  <c r="N7" i="1"/>
  <c r="B7" i="2"/>
  <c r="B39" i="2"/>
  <c r="C1" i="2"/>
  <c r="B9" i="5"/>
  <c r="C19" i="1"/>
  <c r="B34" i="2"/>
  <c r="B8" i="3" s="1"/>
  <c r="B13" i="3"/>
  <c r="C46" i="1"/>
  <c r="C23" i="1"/>
  <c r="C14" i="1"/>
  <c r="C131" i="1"/>
  <c r="E12" i="5"/>
  <c r="G4" i="1"/>
  <c r="C13" i="1"/>
  <c r="C72" i="1"/>
  <c r="C78" i="1"/>
  <c r="I141" i="1" s="1"/>
  <c r="C77" i="1"/>
  <c r="H141" i="1" s="1"/>
  <c r="C75" i="1"/>
  <c r="F141" i="1" s="1"/>
  <c r="C76" i="1"/>
  <c r="G141" i="1" s="1"/>
  <c r="C79" i="1"/>
  <c r="J141" i="1" s="1"/>
  <c r="AA80" i="1"/>
  <c r="AA88" i="1"/>
  <c r="C89" i="1"/>
  <c r="C81" i="1"/>
  <c r="AA54" i="1"/>
  <c r="AA53" i="1"/>
  <c r="O132" i="1"/>
  <c r="W132" i="1"/>
  <c r="L133" i="1"/>
  <c r="T133" i="1"/>
  <c r="H132" i="1"/>
  <c r="X132" i="1"/>
  <c r="M133" i="1"/>
  <c r="U133" i="1"/>
  <c r="W133" i="1"/>
  <c r="S132" i="1"/>
  <c r="P132" i="1"/>
  <c r="R132" i="1"/>
  <c r="H133" i="1"/>
  <c r="I132" i="1"/>
  <c r="Q132" i="1"/>
  <c r="N133" i="1"/>
  <c r="V133" i="1"/>
  <c r="J132" i="1"/>
  <c r="O133" i="1"/>
  <c r="K132" i="1"/>
  <c r="P133" i="1"/>
  <c r="M132" i="1"/>
  <c r="Q133" i="1"/>
  <c r="N132" i="1"/>
  <c r="R133" i="1"/>
  <c r="J133" i="1"/>
  <c r="K133" i="1"/>
  <c r="L132" i="1"/>
  <c r="T132" i="1"/>
  <c r="S133" i="1"/>
  <c r="U132" i="1"/>
  <c r="V132" i="1"/>
  <c r="I133" i="1"/>
  <c r="C126" i="1"/>
  <c r="C80" i="1"/>
  <c r="K141" i="1" s="1"/>
  <c r="C73" i="1"/>
  <c r="C96" i="1"/>
  <c r="C88" i="1"/>
  <c r="C61" i="2"/>
  <c r="B30" i="2"/>
  <c r="B79" i="2"/>
  <c r="B80" i="2"/>
  <c r="B30" i="1"/>
  <c r="B27" i="1"/>
  <c r="B24" i="1"/>
  <c r="B39" i="1"/>
  <c r="B36" i="1"/>
  <c r="B33" i="1"/>
  <c r="C39" i="1"/>
  <c r="C30" i="1"/>
  <c r="C36" i="1"/>
  <c r="C27" i="1"/>
  <c r="C24" i="1"/>
  <c r="C33" i="1"/>
  <c r="E1" i="2"/>
  <c r="C117" i="1"/>
  <c r="A68" i="2"/>
  <c r="C67" i="2"/>
  <c r="C113" i="1"/>
  <c r="C116" i="1"/>
  <c r="B68" i="2"/>
  <c r="C115" i="1"/>
  <c r="B69" i="2"/>
  <c r="C64" i="1"/>
  <c r="C63" i="1"/>
  <c r="C66" i="1"/>
  <c r="C65" i="1"/>
  <c r="E14" i="5"/>
  <c r="E4" i="1"/>
  <c r="E16" i="5"/>
  <c r="H4" i="1"/>
  <c r="E10" i="5"/>
  <c r="F4" i="1"/>
  <c r="B5" i="5"/>
  <c r="AA135" i="1"/>
  <c r="C56" i="1"/>
  <c r="C132" i="1" s="1"/>
  <c r="B45" i="3"/>
  <c r="B50" i="3"/>
  <c r="C62" i="1"/>
  <c r="B9" i="3"/>
  <c r="X8" i="1"/>
  <c r="F8" i="1"/>
  <c r="AA45" i="1"/>
  <c r="AA44" i="1"/>
  <c r="AA129" i="1"/>
  <c r="AA64" i="1"/>
  <c r="AA65" i="1"/>
  <c r="AA66" i="1"/>
  <c r="AA63" i="1"/>
  <c r="C127" i="1"/>
  <c r="C128" i="1"/>
  <c r="C129" i="1"/>
  <c r="AA128" i="1"/>
  <c r="AA127" i="1"/>
  <c r="A39" i="2"/>
  <c r="D5" i="3"/>
  <c r="F21" i="3"/>
  <c r="F5" i="3"/>
  <c r="G5" i="3"/>
  <c r="H2" i="1"/>
  <c r="G2" i="3"/>
  <c r="B33" i="2"/>
  <c r="B31" i="2"/>
  <c r="B32" i="2"/>
  <c r="A2" i="2"/>
  <c r="H8" i="1"/>
  <c r="U8" i="1"/>
  <c r="J8" i="1"/>
  <c r="L8" i="1"/>
  <c r="T8" i="1"/>
  <c r="V8" i="1"/>
  <c r="G8" i="1"/>
  <c r="I8" i="1"/>
  <c r="W8" i="1"/>
  <c r="M8" i="1"/>
  <c r="K8" i="1"/>
  <c r="E92" i="1" l="1"/>
  <c r="E91" i="1"/>
  <c r="E90" i="1"/>
  <c r="H90" i="1"/>
  <c r="Q127" i="1"/>
  <c r="V128" i="1"/>
  <c r="N127" i="1"/>
  <c r="N129" i="1"/>
  <c r="I129" i="1"/>
  <c r="K127" i="1"/>
  <c r="H127" i="1"/>
  <c r="N128" i="1"/>
  <c r="K128" i="1"/>
  <c r="K129" i="1"/>
  <c r="H128" i="1"/>
  <c r="H129" i="1"/>
  <c r="L127" i="1"/>
  <c r="M129" i="1"/>
  <c r="X128" i="1"/>
  <c r="X129" i="1"/>
  <c r="E117" i="1"/>
  <c r="F117" i="1"/>
  <c r="N117" i="1"/>
  <c r="V117" i="1"/>
  <c r="G117" i="1"/>
  <c r="O117" i="1"/>
  <c r="W117" i="1"/>
  <c r="H117" i="1"/>
  <c r="I117" i="1"/>
  <c r="Q117" i="1"/>
  <c r="S117" i="1"/>
  <c r="L117" i="1"/>
  <c r="X117" i="1"/>
  <c r="J117" i="1"/>
  <c r="R117" i="1"/>
  <c r="K117" i="1"/>
  <c r="T117" i="1"/>
  <c r="M117" i="1"/>
  <c r="U117" i="1"/>
  <c r="P117" i="1"/>
  <c r="G128" i="1"/>
  <c r="G44" i="1"/>
  <c r="F23" i="1"/>
  <c r="F44" i="1"/>
  <c r="E129" i="1"/>
  <c r="Q128" i="1"/>
  <c r="Q129" i="1"/>
  <c r="W128" i="1"/>
  <c r="R128" i="1"/>
  <c r="E23" i="1"/>
  <c r="S128" i="1"/>
  <c r="J127" i="1"/>
  <c r="W127" i="1"/>
  <c r="J128" i="1"/>
  <c r="G132" i="1"/>
  <c r="W129" i="1"/>
  <c r="U136" i="1"/>
  <c r="J129" i="1"/>
  <c r="P127" i="1"/>
  <c r="R129" i="1"/>
  <c r="L128" i="1"/>
  <c r="M127" i="1"/>
  <c r="U128" i="1"/>
  <c r="V127" i="1"/>
  <c r="M128" i="1"/>
  <c r="R127" i="1"/>
  <c r="V129" i="1"/>
  <c r="M136" i="1"/>
  <c r="P128" i="1"/>
  <c r="S129" i="1"/>
  <c r="S127" i="1"/>
  <c r="T128" i="1"/>
  <c r="P129" i="1"/>
  <c r="T127" i="1"/>
  <c r="G134" i="1"/>
  <c r="I115" i="1"/>
  <c r="Q115" i="1"/>
  <c r="E115" i="1"/>
  <c r="E98" i="1" s="1"/>
  <c r="K115" i="1"/>
  <c r="L115" i="1"/>
  <c r="T115" i="1"/>
  <c r="F115" i="1"/>
  <c r="V115" i="1"/>
  <c r="P115" i="1"/>
  <c r="M115" i="1"/>
  <c r="U115" i="1"/>
  <c r="N115" i="1"/>
  <c r="R115" i="1"/>
  <c r="S115" i="1"/>
  <c r="G115" i="1"/>
  <c r="O115" i="1"/>
  <c r="W115" i="1"/>
  <c r="H115" i="1"/>
  <c r="X115" i="1"/>
  <c r="J115" i="1"/>
  <c r="G129" i="1"/>
  <c r="U129" i="1"/>
  <c r="U127" i="1"/>
  <c r="F127" i="1"/>
  <c r="T129" i="1"/>
  <c r="X127" i="1"/>
  <c r="L129" i="1"/>
  <c r="O127" i="1"/>
  <c r="H138" i="1"/>
  <c r="P138" i="1"/>
  <c r="X138" i="1"/>
  <c r="E138" i="1"/>
  <c r="K138" i="1"/>
  <c r="S138" i="1"/>
  <c r="M138" i="1"/>
  <c r="I138" i="1"/>
  <c r="J138" i="1"/>
  <c r="R138" i="1"/>
  <c r="L138" i="1"/>
  <c r="T138" i="1"/>
  <c r="U138" i="1"/>
  <c r="W138" i="1"/>
  <c r="Q138" i="1"/>
  <c r="F138" i="1"/>
  <c r="N138" i="1"/>
  <c r="V138" i="1"/>
  <c r="G138" i="1"/>
  <c r="O138" i="1"/>
  <c r="B29" i="3"/>
  <c r="F128" i="1"/>
  <c r="G127" i="1"/>
  <c r="F129" i="1"/>
  <c r="O128" i="1"/>
  <c r="I127" i="1"/>
  <c r="O129" i="1"/>
  <c r="F23" i="3"/>
  <c r="E128" i="1"/>
  <c r="E127" i="1"/>
  <c r="G133" i="1"/>
  <c r="I128" i="1"/>
  <c r="E144" i="1"/>
  <c r="F28" i="3"/>
  <c r="B28" i="3"/>
  <c r="F29" i="3"/>
  <c r="F26" i="3"/>
  <c r="B26" i="3"/>
  <c r="B27" i="3"/>
  <c r="F27" i="3"/>
  <c r="F25" i="3"/>
  <c r="C142" i="1"/>
  <c r="L142" i="1" s="1"/>
  <c r="F90" i="1"/>
  <c r="C100" i="1"/>
  <c r="C121" i="1"/>
  <c r="C108" i="1"/>
  <c r="C124" i="1"/>
  <c r="C103" i="1"/>
  <c r="C111" i="1"/>
  <c r="C107" i="1"/>
  <c r="C99" i="1"/>
  <c r="C120" i="1"/>
  <c r="C109" i="1"/>
  <c r="C122" i="1"/>
  <c r="C101" i="1"/>
  <c r="C110" i="1"/>
  <c r="C123" i="1"/>
  <c r="C102" i="1"/>
  <c r="C87" i="1"/>
  <c r="C95" i="1"/>
  <c r="C92" i="1"/>
  <c r="C84" i="1"/>
  <c r="C94" i="1"/>
  <c r="C86" i="1"/>
  <c r="C83" i="1"/>
  <c r="C91" i="1"/>
  <c r="C93" i="1"/>
  <c r="C85" i="1"/>
  <c r="J116" i="1"/>
  <c r="W116" i="1"/>
  <c r="E116" i="1"/>
  <c r="E106" i="1" s="1"/>
  <c r="I116" i="1"/>
  <c r="O116" i="1"/>
  <c r="U116" i="1"/>
  <c r="H116" i="1"/>
  <c r="V116" i="1"/>
  <c r="M116" i="1"/>
  <c r="G116" i="1"/>
  <c r="N116" i="1"/>
  <c r="T116" i="1"/>
  <c r="R116" i="1"/>
  <c r="F116" i="1"/>
  <c r="L116" i="1"/>
  <c r="Q116" i="1"/>
  <c r="S116" i="1"/>
  <c r="X116" i="1"/>
  <c r="K116" i="1"/>
  <c r="L136" i="1"/>
  <c r="T136" i="1"/>
  <c r="V136" i="1"/>
  <c r="J136" i="1"/>
  <c r="O136" i="1"/>
  <c r="E134" i="1"/>
  <c r="F134" i="1"/>
  <c r="E133" i="1"/>
  <c r="I136" i="1"/>
  <c r="X136" i="1"/>
  <c r="K136" i="1"/>
  <c r="R136" i="1"/>
  <c r="H136" i="1"/>
  <c r="Q136" i="1"/>
  <c r="P136" i="1"/>
  <c r="S136" i="1"/>
  <c r="N136" i="1"/>
  <c r="W136" i="1"/>
  <c r="E153" i="1"/>
  <c r="F153" i="1"/>
  <c r="G153" i="1"/>
  <c r="J153" i="1"/>
  <c r="H153" i="1"/>
  <c r="I153" i="1"/>
  <c r="E149" i="1"/>
  <c r="F149" i="1"/>
  <c r="G149" i="1"/>
  <c r="J149" i="1"/>
  <c r="H149" i="1"/>
  <c r="I149" i="1"/>
  <c r="J148" i="1"/>
  <c r="I148" i="1"/>
  <c r="E148" i="1"/>
  <c r="H148" i="1"/>
  <c r="F148" i="1"/>
  <c r="G148" i="1"/>
  <c r="I151" i="1"/>
  <c r="J151" i="1"/>
  <c r="G151" i="1"/>
  <c r="H151" i="1"/>
  <c r="F151" i="1"/>
  <c r="E151" i="1"/>
  <c r="I143" i="1"/>
  <c r="H143" i="1"/>
  <c r="J143" i="1"/>
  <c r="F143" i="1"/>
  <c r="E143" i="1"/>
  <c r="G143" i="1"/>
  <c r="E152" i="1"/>
  <c r="H152" i="1"/>
  <c r="I152" i="1"/>
  <c r="J152" i="1"/>
  <c r="F152" i="1"/>
  <c r="G152" i="1"/>
  <c r="H144" i="1"/>
  <c r="G144" i="1"/>
  <c r="J144" i="1"/>
  <c r="F144" i="1"/>
  <c r="I144" i="1"/>
  <c r="B33" i="3"/>
  <c r="B38" i="3"/>
  <c r="B42" i="3"/>
  <c r="B37" i="3"/>
  <c r="B40" i="3"/>
  <c r="B41" i="3"/>
  <c r="C145" i="1"/>
  <c r="L145" i="1" s="1"/>
  <c r="C146" i="1"/>
  <c r="L146" i="1" s="1"/>
  <c r="C150" i="1"/>
  <c r="L150" i="1" s="1"/>
  <c r="C147" i="1"/>
  <c r="L147" i="1" s="1"/>
  <c r="F132" i="1"/>
  <c r="E132" i="1"/>
  <c r="F133" i="1"/>
  <c r="H12" i="3"/>
  <c r="G12" i="3" s="1"/>
  <c r="G136" i="1" l="1"/>
  <c r="K143" i="1"/>
  <c r="M143" i="1" s="1"/>
  <c r="E142" i="1"/>
  <c r="H142" i="1"/>
  <c r="J142" i="1"/>
  <c r="I142" i="1"/>
  <c r="F142" i="1"/>
  <c r="G142" i="1"/>
  <c r="Z134" i="1"/>
  <c r="Z133" i="1"/>
  <c r="F136" i="1"/>
  <c r="Z132" i="1"/>
  <c r="E136" i="1"/>
  <c r="I147" i="1"/>
  <c r="J147" i="1"/>
  <c r="G147" i="1"/>
  <c r="F147" i="1"/>
  <c r="H147" i="1"/>
  <c r="E147" i="1"/>
  <c r="G150" i="1"/>
  <c r="H150" i="1"/>
  <c r="I150" i="1"/>
  <c r="E150" i="1"/>
  <c r="F150" i="1"/>
  <c r="J150" i="1"/>
  <c r="G146" i="1"/>
  <c r="H146" i="1"/>
  <c r="I146" i="1"/>
  <c r="E146" i="1"/>
  <c r="J146" i="1"/>
  <c r="F146" i="1"/>
  <c r="E145" i="1"/>
  <c r="F145" i="1"/>
  <c r="G145" i="1"/>
  <c r="J145" i="1"/>
  <c r="H145" i="1"/>
  <c r="I145" i="1"/>
  <c r="B39" i="3"/>
  <c r="B36" i="3"/>
  <c r="B34" i="3"/>
  <c r="B35" i="3"/>
  <c r="K153" i="1"/>
  <c r="M153" i="1" s="1"/>
  <c r="F42" i="3" s="1"/>
  <c r="K148" i="1"/>
  <c r="M148" i="1" s="1"/>
  <c r="F37" i="3" s="1"/>
  <c r="K151" i="1"/>
  <c r="M151" i="1" s="1"/>
  <c r="F40" i="3" s="1"/>
  <c r="K149" i="1"/>
  <c r="M149" i="1" s="1"/>
  <c r="F38" i="3" s="1"/>
  <c r="K144" i="1"/>
  <c r="M144" i="1" s="1"/>
  <c r="F33" i="3" s="1"/>
  <c r="K152" i="1"/>
  <c r="M152" i="1" s="1"/>
  <c r="F41" i="3" s="1"/>
  <c r="Z129" i="1"/>
  <c r="Z127" i="1"/>
  <c r="Z63" i="1" s="1"/>
  <c r="E10" i="3" s="1"/>
  <c r="K142" i="1" l="1"/>
  <c r="M142" i="1" s="1"/>
  <c r="F32" i="3" s="1"/>
  <c r="F12" i="3"/>
  <c r="E12" i="3"/>
  <c r="Z135" i="1"/>
  <c r="Z44" i="1"/>
  <c r="Z136" i="1"/>
  <c r="K146" i="1"/>
  <c r="M146" i="1" s="1"/>
  <c r="F35" i="3" s="1"/>
  <c r="K145" i="1"/>
  <c r="M145" i="1" s="1"/>
  <c r="F34" i="3" s="1"/>
  <c r="K147" i="1"/>
  <c r="M147" i="1" s="1"/>
  <c r="F36" i="3" s="1"/>
  <c r="K150" i="1"/>
  <c r="M150" i="1" s="1"/>
  <c r="F39" i="3" s="1"/>
  <c r="H93" i="1"/>
  <c r="W92" i="1"/>
  <c r="T91" i="1"/>
  <c r="I95" i="1"/>
  <c r="V91" i="1"/>
  <c r="P95" i="1"/>
  <c r="W94" i="1"/>
  <c r="U91" i="1"/>
  <c r="Q95" i="1"/>
  <c r="V92" i="1"/>
  <c r="K94" i="1"/>
  <c r="P94" i="1"/>
  <c r="N92" i="1"/>
  <c r="Q92" i="1"/>
  <c r="K90" i="1"/>
  <c r="X94" i="1"/>
  <c r="G93" i="1"/>
  <c r="H92" i="1"/>
  <c r="F92" i="1"/>
  <c r="N95" i="1"/>
  <c r="O90" i="1"/>
  <c r="I90" i="1"/>
  <c r="V94" i="1"/>
  <c r="M93" i="1"/>
  <c r="L92" i="1"/>
  <c r="T90" i="1"/>
  <c r="S91" i="1"/>
  <c r="F94" i="1"/>
  <c r="J90" i="1"/>
  <c r="I94" i="1"/>
  <c r="W90" i="1"/>
  <c r="Q94" i="1"/>
  <c r="S90" i="1"/>
  <c r="X93" i="1"/>
  <c r="L91" i="1"/>
  <c r="J91" i="1"/>
  <c r="N90" i="1"/>
  <c r="V90" i="1"/>
  <c r="L94" i="1"/>
  <c r="R90" i="1"/>
  <c r="O92" i="1"/>
  <c r="V93" i="1"/>
  <c r="K91" i="1"/>
  <c r="L93" i="1"/>
  <c r="J92" i="1"/>
  <c r="N94" i="1"/>
  <c r="U93" i="1"/>
  <c r="W91" i="1"/>
  <c r="H91" i="1"/>
  <c r="T93" i="1"/>
  <c r="M95" i="1"/>
  <c r="S95" i="1"/>
  <c r="F93" i="1"/>
  <c r="G92" i="1"/>
  <c r="E95" i="1"/>
  <c r="E94" i="1"/>
  <c r="P92" i="1"/>
  <c r="M91" i="1"/>
  <c r="S93" i="1"/>
  <c r="G95" i="1"/>
  <c r="U94" i="1"/>
  <c r="W93" i="1"/>
  <c r="H95" i="1"/>
  <c r="T92" i="1"/>
  <c r="M94" i="1"/>
  <c r="S92" i="1"/>
  <c r="L90" i="1"/>
  <c r="R91" i="1"/>
  <c r="N93" i="1"/>
  <c r="G91" i="1"/>
  <c r="I91" i="1"/>
  <c r="U92" i="1"/>
  <c r="M92" i="1"/>
  <c r="X91" i="1"/>
  <c r="L95" i="1"/>
  <c r="J93" i="1"/>
  <c r="G94" i="1"/>
  <c r="O91" i="1"/>
  <c r="U95" i="1"/>
  <c r="Q91" i="1"/>
  <c r="H94" i="1"/>
  <c r="K92" i="1"/>
  <c r="P91" i="1"/>
  <c r="X90" i="1"/>
  <c r="F95" i="1"/>
  <c r="J94" i="1"/>
  <c r="N91" i="1"/>
  <c r="G90" i="1"/>
  <c r="O95" i="1"/>
  <c r="V95" i="1"/>
  <c r="T94" i="1"/>
  <c r="K95" i="1"/>
  <c r="P93" i="1"/>
  <c r="R94" i="1"/>
  <c r="I93" i="1"/>
  <c r="F91" i="1"/>
  <c r="I92" i="1"/>
  <c r="W95" i="1"/>
  <c r="Q90" i="1"/>
  <c r="T95" i="1"/>
  <c r="P90" i="1"/>
  <c r="S94" i="1"/>
  <c r="X92" i="1"/>
  <c r="R95" i="1"/>
  <c r="O93" i="1"/>
  <c r="Q93" i="1"/>
  <c r="K93" i="1"/>
  <c r="X95" i="1"/>
  <c r="R93" i="1"/>
  <c r="J95" i="1"/>
  <c r="E93" i="1"/>
  <c r="O94" i="1"/>
  <c r="U90" i="1"/>
  <c r="M90" i="1"/>
  <c r="R92" i="1"/>
  <c r="U80" i="1"/>
  <c r="F80" i="1"/>
  <c r="G80" i="1"/>
  <c r="M80" i="1"/>
  <c r="H80" i="1"/>
  <c r="W80" i="1"/>
  <c r="X80" i="1"/>
  <c r="L80" i="1"/>
  <c r="O80" i="1"/>
  <c r="K80" i="1"/>
  <c r="I80" i="1"/>
  <c r="N80" i="1"/>
  <c r="P80" i="1"/>
  <c r="V80" i="1"/>
  <c r="J80" i="1"/>
  <c r="T80" i="1"/>
  <c r="S80" i="1"/>
  <c r="Q80" i="1"/>
  <c r="R80" i="1"/>
  <c r="Z64" i="1"/>
  <c r="F10" i="3" s="1"/>
  <c r="R53" i="1" l="1"/>
  <c r="R82" i="1"/>
  <c r="R85" i="1"/>
  <c r="R83" i="1"/>
  <c r="R86" i="1"/>
  <c r="R87" i="1"/>
  <c r="R84" i="1"/>
  <c r="Q53" i="1"/>
  <c r="Q85" i="1"/>
  <c r="Q82" i="1"/>
  <c r="Q83" i="1"/>
  <c r="Q86" i="1"/>
  <c r="Q84" i="1"/>
  <c r="Q87" i="1"/>
  <c r="K53" i="1"/>
  <c r="K87" i="1"/>
  <c r="K82" i="1"/>
  <c r="K85" i="1"/>
  <c r="K83" i="1"/>
  <c r="K86" i="1"/>
  <c r="K84" i="1"/>
  <c r="F53" i="1"/>
  <c r="F86" i="1"/>
  <c r="F83" i="1"/>
  <c r="F84" i="1"/>
  <c r="F87" i="1"/>
  <c r="F82" i="1"/>
  <c r="F85" i="1"/>
  <c r="S53" i="1"/>
  <c r="S87" i="1"/>
  <c r="S82" i="1"/>
  <c r="S85" i="1"/>
  <c r="S83" i="1"/>
  <c r="S84" i="1"/>
  <c r="S86" i="1"/>
  <c r="O53" i="1"/>
  <c r="O83" i="1"/>
  <c r="O86" i="1"/>
  <c r="O84" i="1"/>
  <c r="O87" i="1"/>
  <c r="O82" i="1"/>
  <c r="O85" i="1"/>
  <c r="U53" i="1"/>
  <c r="U84" i="1"/>
  <c r="U87" i="1"/>
  <c r="U82" i="1"/>
  <c r="U86" i="1"/>
  <c r="U85" i="1"/>
  <c r="U83" i="1"/>
  <c r="G83" i="1"/>
  <c r="G86" i="1"/>
  <c r="G84" i="1"/>
  <c r="G87" i="1"/>
  <c r="G82" i="1"/>
  <c r="G85" i="1"/>
  <c r="T53" i="1"/>
  <c r="T84" i="1"/>
  <c r="T87" i="1"/>
  <c r="T82" i="1"/>
  <c r="T85" i="1"/>
  <c r="T83" i="1"/>
  <c r="T86" i="1"/>
  <c r="L53" i="1"/>
  <c r="L84" i="1"/>
  <c r="L87" i="1"/>
  <c r="L82" i="1"/>
  <c r="L85" i="1"/>
  <c r="L83" i="1"/>
  <c r="L86" i="1"/>
  <c r="J53" i="1"/>
  <c r="J82" i="1"/>
  <c r="J85" i="1"/>
  <c r="J83" i="1"/>
  <c r="J86" i="1"/>
  <c r="J84" i="1"/>
  <c r="J87" i="1"/>
  <c r="X53" i="1"/>
  <c r="X83" i="1"/>
  <c r="X85" i="1"/>
  <c r="X86" i="1"/>
  <c r="X84" i="1"/>
  <c r="X87" i="1"/>
  <c r="X82" i="1"/>
  <c r="I53" i="1"/>
  <c r="I85" i="1"/>
  <c r="I83" i="1"/>
  <c r="I86" i="1"/>
  <c r="I82" i="1"/>
  <c r="I84" i="1"/>
  <c r="I87" i="1"/>
  <c r="V53" i="1"/>
  <c r="V86" i="1"/>
  <c r="V84" i="1"/>
  <c r="V87" i="1"/>
  <c r="V82" i="1"/>
  <c r="V85" i="1"/>
  <c r="V83" i="1"/>
  <c r="W53" i="1"/>
  <c r="W83" i="1"/>
  <c r="W86" i="1"/>
  <c r="W84" i="1"/>
  <c r="W87" i="1"/>
  <c r="W82" i="1"/>
  <c r="W85" i="1"/>
  <c r="P53" i="1"/>
  <c r="P85" i="1"/>
  <c r="P83" i="1"/>
  <c r="P86" i="1"/>
  <c r="P84" i="1"/>
  <c r="P87" i="1"/>
  <c r="P82" i="1"/>
  <c r="H53" i="1"/>
  <c r="H83" i="1"/>
  <c r="H86" i="1"/>
  <c r="H85" i="1"/>
  <c r="H84" i="1"/>
  <c r="H87" i="1"/>
  <c r="H82" i="1"/>
  <c r="N53" i="1"/>
  <c r="N86" i="1"/>
  <c r="N84" i="1"/>
  <c r="N83" i="1"/>
  <c r="N87" i="1"/>
  <c r="N82" i="1"/>
  <c r="N85" i="1"/>
  <c r="M53" i="1"/>
  <c r="M84" i="1"/>
  <c r="M87" i="1"/>
  <c r="M82" i="1"/>
  <c r="M85" i="1"/>
  <c r="M86" i="1"/>
  <c r="M83" i="1"/>
  <c r="F43" i="3"/>
  <c r="G23" i="1"/>
  <c r="M154" i="1"/>
  <c r="G10" i="3"/>
  <c r="E119" i="1"/>
  <c r="E16" i="3"/>
  <c r="G16" i="3" s="1"/>
  <c r="F14" i="3"/>
  <c r="G14" i="3" s="1"/>
  <c r="Z128" i="1"/>
  <c r="Z66" i="1" s="1"/>
  <c r="F11" i="3" s="1"/>
  <c r="M108" i="1"/>
  <c r="M111" i="1"/>
  <c r="M106" i="1"/>
  <c r="M109" i="1"/>
  <c r="M107" i="1"/>
  <c r="M110" i="1"/>
  <c r="X111" i="1"/>
  <c r="X107" i="1"/>
  <c r="X110" i="1"/>
  <c r="X108" i="1"/>
  <c r="X106" i="1"/>
  <c r="X109" i="1"/>
  <c r="T108" i="1"/>
  <c r="T111" i="1"/>
  <c r="T106" i="1"/>
  <c r="T109" i="1"/>
  <c r="T107" i="1"/>
  <c r="T110" i="1"/>
  <c r="L108" i="1"/>
  <c r="L111" i="1"/>
  <c r="L106" i="1"/>
  <c r="L109" i="1"/>
  <c r="L107" i="1"/>
  <c r="L110" i="1"/>
  <c r="K107" i="1"/>
  <c r="K106" i="1"/>
  <c r="K109" i="1"/>
  <c r="K110" i="1"/>
  <c r="K108" i="1"/>
  <c r="K111" i="1"/>
  <c r="W107" i="1"/>
  <c r="W110" i="1"/>
  <c r="W108" i="1"/>
  <c r="W111" i="1"/>
  <c r="W106" i="1"/>
  <c r="W109" i="1"/>
  <c r="J106" i="1"/>
  <c r="J109" i="1"/>
  <c r="J107" i="1"/>
  <c r="J110" i="1"/>
  <c r="J108" i="1"/>
  <c r="J111" i="1"/>
  <c r="Q107" i="1"/>
  <c r="Q110" i="1"/>
  <c r="Q108" i="1"/>
  <c r="Q111" i="1"/>
  <c r="Q106" i="1"/>
  <c r="Q109" i="1"/>
  <c r="O107" i="1"/>
  <c r="O110" i="1"/>
  <c r="O111" i="1"/>
  <c r="O108" i="1"/>
  <c r="O106" i="1"/>
  <c r="O109" i="1"/>
  <c r="H107" i="1"/>
  <c r="H110" i="1"/>
  <c r="H108" i="1"/>
  <c r="H111" i="1"/>
  <c r="H106" i="1"/>
  <c r="H109" i="1"/>
  <c r="G107" i="1"/>
  <c r="G110" i="1"/>
  <c r="G109" i="1"/>
  <c r="G108" i="1"/>
  <c r="G106" i="1"/>
  <c r="G111" i="1"/>
  <c r="R106" i="1"/>
  <c r="R109" i="1"/>
  <c r="R107" i="1"/>
  <c r="R110" i="1"/>
  <c r="R108" i="1"/>
  <c r="R111" i="1"/>
  <c r="S110" i="1"/>
  <c r="S106" i="1"/>
  <c r="S109" i="1"/>
  <c r="S108" i="1"/>
  <c r="S111" i="1"/>
  <c r="S107" i="1"/>
  <c r="F106" i="1"/>
  <c r="F108" i="1"/>
  <c r="F111" i="1"/>
  <c r="F109" i="1"/>
  <c r="F107" i="1"/>
  <c r="F110" i="1"/>
  <c r="N108" i="1"/>
  <c r="N111" i="1"/>
  <c r="N109" i="1"/>
  <c r="N107" i="1"/>
  <c r="N110" i="1"/>
  <c r="N106" i="1"/>
  <c r="I107" i="1"/>
  <c r="I110" i="1"/>
  <c r="I108" i="1"/>
  <c r="I111" i="1"/>
  <c r="I106" i="1"/>
  <c r="I109" i="1"/>
  <c r="V106" i="1"/>
  <c r="V108" i="1"/>
  <c r="V111" i="1"/>
  <c r="V107" i="1"/>
  <c r="V110" i="1"/>
  <c r="V109" i="1"/>
  <c r="P108" i="1"/>
  <c r="P107" i="1"/>
  <c r="P110" i="1"/>
  <c r="P106" i="1"/>
  <c r="P109" i="1"/>
  <c r="P111" i="1"/>
  <c r="U109" i="1"/>
  <c r="U108" i="1"/>
  <c r="U111" i="1"/>
  <c r="U106" i="1"/>
  <c r="U107" i="1"/>
  <c r="U110" i="1"/>
  <c r="V96" i="1"/>
  <c r="E107" i="1"/>
  <c r="E88" i="1"/>
  <c r="E101" i="1"/>
  <c r="E102" i="1"/>
  <c r="E103" i="1"/>
  <c r="E100" i="1"/>
  <c r="E99" i="1"/>
  <c r="L100" i="1"/>
  <c r="L102" i="1"/>
  <c r="L99" i="1"/>
  <c r="L101" i="1"/>
  <c r="L98" i="1"/>
  <c r="L103" i="1"/>
  <c r="M100" i="1"/>
  <c r="M102" i="1"/>
  <c r="M99" i="1"/>
  <c r="M101" i="1"/>
  <c r="M98" i="1"/>
  <c r="M103" i="1"/>
  <c r="K103" i="1"/>
  <c r="K100" i="1"/>
  <c r="K102" i="1"/>
  <c r="K99" i="1"/>
  <c r="K98" i="1"/>
  <c r="K101" i="1"/>
  <c r="O99" i="1"/>
  <c r="O101" i="1"/>
  <c r="O98" i="1"/>
  <c r="O103" i="1"/>
  <c r="O100" i="1"/>
  <c r="O102" i="1"/>
  <c r="W99" i="1"/>
  <c r="W101" i="1"/>
  <c r="W98" i="1"/>
  <c r="W103" i="1"/>
  <c r="W100" i="1"/>
  <c r="W102" i="1"/>
  <c r="S103" i="1"/>
  <c r="S100" i="1"/>
  <c r="S102" i="1"/>
  <c r="S99" i="1"/>
  <c r="S101" i="1"/>
  <c r="S98" i="1"/>
  <c r="H101" i="1"/>
  <c r="H98" i="1"/>
  <c r="H103" i="1"/>
  <c r="H100" i="1"/>
  <c r="H99" i="1"/>
  <c r="H102" i="1"/>
  <c r="V102" i="1"/>
  <c r="V99" i="1"/>
  <c r="V101" i="1"/>
  <c r="V98" i="1"/>
  <c r="V103" i="1"/>
  <c r="V100" i="1"/>
  <c r="X101" i="1"/>
  <c r="X98" i="1"/>
  <c r="X103" i="1"/>
  <c r="X100" i="1"/>
  <c r="X102" i="1"/>
  <c r="X99" i="1"/>
  <c r="G99" i="1"/>
  <c r="G101" i="1"/>
  <c r="G98" i="1"/>
  <c r="G103" i="1"/>
  <c r="G100" i="1"/>
  <c r="G102" i="1"/>
  <c r="P101" i="1"/>
  <c r="P98" i="1"/>
  <c r="P103" i="1"/>
  <c r="P100" i="1"/>
  <c r="P99" i="1"/>
  <c r="P102" i="1"/>
  <c r="F98" i="1"/>
  <c r="F102" i="1"/>
  <c r="F99" i="1"/>
  <c r="F101" i="1"/>
  <c r="F103" i="1"/>
  <c r="F100" i="1"/>
  <c r="T100" i="1"/>
  <c r="T102" i="1"/>
  <c r="T99" i="1"/>
  <c r="T103" i="1"/>
  <c r="T101" i="1"/>
  <c r="T98" i="1"/>
  <c r="U102" i="1"/>
  <c r="U99" i="1"/>
  <c r="U101" i="1"/>
  <c r="U98" i="1"/>
  <c r="U100" i="1"/>
  <c r="U103" i="1"/>
  <c r="Q101" i="1"/>
  <c r="Q98" i="1"/>
  <c r="Q103" i="1"/>
  <c r="Q100" i="1"/>
  <c r="Q102" i="1"/>
  <c r="Q99" i="1"/>
  <c r="N102" i="1"/>
  <c r="N99" i="1"/>
  <c r="N101" i="1"/>
  <c r="N98" i="1"/>
  <c r="N103" i="1"/>
  <c r="N100" i="1"/>
  <c r="R98" i="1"/>
  <c r="R103" i="1"/>
  <c r="R100" i="1"/>
  <c r="R102" i="1"/>
  <c r="R101" i="1"/>
  <c r="R99" i="1"/>
  <c r="J98" i="1"/>
  <c r="J103" i="1"/>
  <c r="J100" i="1"/>
  <c r="J101" i="1"/>
  <c r="J102" i="1"/>
  <c r="J99" i="1"/>
  <c r="I101" i="1"/>
  <c r="I98" i="1"/>
  <c r="I103" i="1"/>
  <c r="I100" i="1"/>
  <c r="I102" i="1"/>
  <c r="I99" i="1"/>
  <c r="N96" i="1"/>
  <c r="H96" i="1"/>
  <c r="U96" i="1"/>
  <c r="J96" i="1"/>
  <c r="M96" i="1"/>
  <c r="L96" i="1"/>
  <c r="E96" i="1"/>
  <c r="S96" i="1"/>
  <c r="X96" i="1"/>
  <c r="F96" i="1"/>
  <c r="G96" i="1"/>
  <c r="I96" i="1"/>
  <c r="K96" i="1"/>
  <c r="W96" i="1"/>
  <c r="Q96" i="1"/>
  <c r="Z80" i="1"/>
  <c r="H18" i="3" s="1"/>
  <c r="O96" i="1"/>
  <c r="T96" i="1"/>
  <c r="P96" i="1"/>
  <c r="R96" i="1"/>
  <c r="H88" i="1" l="1"/>
  <c r="N88" i="1"/>
  <c r="M88" i="1"/>
  <c r="J88" i="1"/>
  <c r="P88" i="1"/>
  <c r="I88" i="1"/>
  <c r="G88" i="1"/>
  <c r="X88" i="1"/>
  <c r="V88" i="1"/>
  <c r="R88" i="1"/>
  <c r="O88" i="1"/>
  <c r="W88" i="1"/>
  <c r="U88" i="1"/>
  <c r="S88" i="1"/>
  <c r="K88" i="1"/>
  <c r="Q88" i="1"/>
  <c r="L88" i="1"/>
  <c r="F88" i="1"/>
  <c r="T88" i="1"/>
  <c r="F8" i="3"/>
  <c r="F7" i="3"/>
  <c r="E104" i="1"/>
  <c r="Z65" i="1"/>
  <c r="R122" i="1"/>
  <c r="E109" i="1"/>
  <c r="E122" i="1" s="1"/>
  <c r="E108" i="1"/>
  <c r="E121" i="1" s="1"/>
  <c r="E110" i="1"/>
  <c r="E123" i="1" s="1"/>
  <c r="E111" i="1"/>
  <c r="E124" i="1" s="1"/>
  <c r="N124" i="1"/>
  <c r="S124" i="1"/>
  <c r="G121" i="1"/>
  <c r="Q122" i="1"/>
  <c r="F119" i="1"/>
  <c r="P124" i="1"/>
  <c r="O121" i="1"/>
  <c r="I121" i="1"/>
  <c r="U120" i="1"/>
  <c r="K123" i="1"/>
  <c r="V121" i="1"/>
  <c r="F120" i="1"/>
  <c r="O123" i="1"/>
  <c r="W121" i="1"/>
  <c r="X120" i="1"/>
  <c r="V122" i="1"/>
  <c r="L124" i="1"/>
  <c r="I124" i="1"/>
  <c r="J123" i="1"/>
  <c r="T122" i="1"/>
  <c r="U121" i="1"/>
  <c r="N122" i="1"/>
  <c r="W122" i="1"/>
  <c r="L123" i="1"/>
  <c r="V119" i="1"/>
  <c r="Q119" i="1"/>
  <c r="L120" i="1"/>
  <c r="J119" i="1"/>
  <c r="R119" i="1"/>
  <c r="T120" i="1"/>
  <c r="N121" i="1"/>
  <c r="G123" i="1"/>
  <c r="F122" i="1"/>
  <c r="H123" i="1"/>
  <c r="O120" i="1"/>
  <c r="S119" i="1"/>
  <c r="W119" i="1"/>
  <c r="M121" i="1"/>
  <c r="X122" i="1"/>
  <c r="R123" i="1"/>
  <c r="G124" i="1"/>
  <c r="Q123" i="1"/>
  <c r="T123" i="1"/>
  <c r="M124" i="1"/>
  <c r="V123" i="1"/>
  <c r="Q124" i="1"/>
  <c r="I120" i="1"/>
  <c r="J120" i="1"/>
  <c r="R124" i="1"/>
  <c r="U124" i="1"/>
  <c r="N123" i="1"/>
  <c r="G122" i="1"/>
  <c r="P123" i="1"/>
  <c r="H120" i="1"/>
  <c r="O124" i="1"/>
  <c r="S121" i="1"/>
  <c r="K122" i="1"/>
  <c r="M123" i="1"/>
  <c r="X119" i="1"/>
  <c r="T124" i="1"/>
  <c r="S120" i="1"/>
  <c r="V120" i="1"/>
  <c r="Q121" i="1"/>
  <c r="I122" i="1"/>
  <c r="J124" i="1"/>
  <c r="R121" i="1"/>
  <c r="U119" i="1"/>
  <c r="N120" i="1"/>
  <c r="G119" i="1"/>
  <c r="P120" i="1"/>
  <c r="H121" i="1"/>
  <c r="O122" i="1"/>
  <c r="S123" i="1"/>
  <c r="K119" i="1"/>
  <c r="M122" i="1"/>
  <c r="X124" i="1"/>
  <c r="L122" i="1"/>
  <c r="X121" i="1"/>
  <c r="J122" i="1"/>
  <c r="V124" i="1"/>
  <c r="L119" i="1"/>
  <c r="I119" i="1"/>
  <c r="J121" i="1"/>
  <c r="T119" i="1"/>
  <c r="U122" i="1"/>
  <c r="N119" i="1"/>
  <c r="F121" i="1"/>
  <c r="P122" i="1"/>
  <c r="H122" i="1"/>
  <c r="O119" i="1"/>
  <c r="W124" i="1"/>
  <c r="K124" i="1"/>
  <c r="M120" i="1"/>
  <c r="F124" i="1"/>
  <c r="P112" i="1"/>
  <c r="P119" i="1"/>
  <c r="H119" i="1"/>
  <c r="W120" i="1"/>
  <c r="K121" i="1"/>
  <c r="M119" i="1"/>
  <c r="Q120" i="1"/>
  <c r="L121" i="1"/>
  <c r="I123" i="1"/>
  <c r="R120" i="1"/>
  <c r="T121" i="1"/>
  <c r="U123" i="1"/>
  <c r="G120" i="1"/>
  <c r="F123" i="1"/>
  <c r="P121" i="1"/>
  <c r="H124" i="1"/>
  <c r="S122" i="1"/>
  <c r="W123" i="1"/>
  <c r="K120" i="1"/>
  <c r="X123" i="1"/>
  <c r="Z54" i="1"/>
  <c r="F18" i="3" s="1"/>
  <c r="V112" i="1"/>
  <c r="I112" i="1"/>
  <c r="K112" i="1"/>
  <c r="J112" i="1"/>
  <c r="L112" i="1"/>
  <c r="G112" i="1"/>
  <c r="F112" i="1"/>
  <c r="X112" i="1"/>
  <c r="E120" i="1"/>
  <c r="U104" i="1"/>
  <c r="S112" i="1"/>
  <c r="W112" i="1"/>
  <c r="Q112" i="1"/>
  <c r="N112" i="1"/>
  <c r="H112" i="1"/>
  <c r="U112" i="1"/>
  <c r="M112" i="1"/>
  <c r="R112" i="1"/>
  <c r="T112" i="1"/>
  <c r="O112" i="1"/>
  <c r="R104" i="1"/>
  <c r="G104" i="1"/>
  <c r="X104" i="1"/>
  <c r="K104" i="1"/>
  <c r="J104" i="1"/>
  <c r="I104" i="1"/>
  <c r="N104" i="1"/>
  <c r="Q104" i="1"/>
  <c r="T104" i="1"/>
  <c r="V104" i="1"/>
  <c r="P104" i="1"/>
  <c r="H104" i="1"/>
  <c r="L104" i="1"/>
  <c r="S104" i="1"/>
  <c r="F104" i="1"/>
  <c r="W104" i="1"/>
  <c r="O104" i="1"/>
  <c r="M104" i="1"/>
  <c r="E53" i="1" l="1"/>
  <c r="G7" i="3"/>
  <c r="G53" i="1"/>
  <c r="E11" i="3"/>
  <c r="G11" i="3" s="1"/>
  <c r="Z88" i="1"/>
  <c r="E112" i="1"/>
  <c r="Z53" i="1" l="1"/>
  <c r="E18" i="3" s="1"/>
  <c r="G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D10" authorId="0" shapeId="0" xr:uid="{C9A17B6B-0F65-42DE-BDF7-E5220343D9C7}">
      <text>
        <r>
          <rPr>
            <sz val="9"/>
            <color indexed="81"/>
            <rFont val="Segoe UI"/>
            <family val="2"/>
          </rPr>
          <t>Jedes Gebäude ist einzeln zu erfassen
Chaque bâtiment doit être saisi individuellement
Ogni edificio deve essere registrato singolarmente</t>
        </r>
      </text>
    </comment>
    <comment ref="D11" authorId="0" shapeId="0" xr:uid="{27D534B1-2A48-49C0-BFAE-0F0797560992}">
      <text>
        <r>
          <rPr>
            <sz val="9"/>
            <color indexed="81"/>
            <rFont val="Segoe UI"/>
            <family val="2"/>
          </rPr>
          <t>Jedes Gebäude im Areal ist in der Label-Plattform zu erfassen, siehe auch Anwendungshilfe. Die Gebäude-ID ist eine Zahlenfolge mit B am Anfang. Z.B. B11111.</t>
        </r>
      </text>
    </comment>
    <comment ref="D12" authorId="0" shapeId="0" xr:uid="{8B89D606-9E17-414F-B5D6-330C5E98207E}">
      <text>
        <r>
          <rPr>
            <b/>
            <sz val="9"/>
            <color indexed="81"/>
            <rFont val="Segoe UI"/>
            <family val="2"/>
          </rPr>
          <t>Geschossfläche GF:</t>
        </r>
        <r>
          <rPr>
            <sz val="9"/>
            <color indexed="81"/>
            <rFont val="Segoe UI"/>
            <family val="2"/>
          </rPr>
          <t xml:space="preserve">  Die gesamte Geschossfläche des Gebäudes gem. SIA 416 muss eingegeben werden. Die GF muss grösser als die EBF sein.
</t>
        </r>
        <r>
          <rPr>
            <b/>
            <sz val="9"/>
            <color indexed="81"/>
            <rFont val="Segoe UI"/>
            <family val="2"/>
          </rPr>
          <t>Surface de plancher SP :</t>
        </r>
        <r>
          <rPr>
            <sz val="9"/>
            <color indexed="81"/>
            <rFont val="Segoe UI"/>
            <family val="2"/>
          </rPr>
          <t xml:space="preserve">  La surface de plancher totale du bâtiment selon SIA 416 doit être saisie. La SP doit être supérieure à la SRE.
</t>
        </r>
        <r>
          <rPr>
            <b/>
            <sz val="9"/>
            <color indexed="81"/>
            <rFont val="Segoe UI"/>
            <family val="2"/>
          </rPr>
          <t xml:space="preserve">
Superficie di piano SP: </t>
        </r>
        <r>
          <rPr>
            <sz val="9"/>
            <color indexed="81"/>
            <rFont val="Segoe UI"/>
            <family val="2"/>
          </rPr>
          <t>Inserire la superficie di piano totale dell'edificio secondo SIA 416/1. La superficie di piano deve essere maggiore della superficie di riferimento energetico AE.</t>
        </r>
      </text>
    </comment>
    <comment ref="D13" authorId="0" shapeId="0" xr:uid="{B35B8BB8-FFB2-4953-82EB-93B8606125BA}">
      <text>
        <r>
          <rPr>
            <sz val="9"/>
            <color indexed="81"/>
            <rFont val="Segoe UI"/>
            <family val="2"/>
          </rPr>
          <t>Standardmässig werden 80% der GF als EBF verwendet. Bei Abweichung kann der Wert in der folgenden Zeile überschrieben werden.
Par défaut, 80% de la SP sont utilisés comme SRE. En cas d'écart, la valeur peut être remplacée dans la ligne suivante.
Per impostazione standard, l'80% della superficie di pavimento viene utilizzata come AE. In caso di scostamento, è possibile sovrascrivere il valore.</t>
        </r>
      </text>
    </comment>
    <comment ref="D16" authorId="0" shapeId="0" xr:uid="{23675C9A-8122-444B-9945-87592856D327}">
      <text>
        <r>
          <rPr>
            <sz val="9"/>
            <color indexed="81"/>
            <rFont val="Segoe UI"/>
            <family val="2"/>
          </rPr>
          <t>Gebäude mit Erneuerungs- und Neubau-Zonen müssen als separate Gebäude eingegeben werden.
Les bâtiments avec des zones de rénovation et de nouvelle construction doivent être saisis comme des bâtiments séparés.
Gli edifici con zone risanate e zone nuove devono essere inseriti come edifici separati.</t>
        </r>
      </text>
    </comment>
    <comment ref="D21" authorId="0" shapeId="0" xr:uid="{32C73B90-C325-415A-832C-E051FD30A3A9}">
      <text>
        <r>
          <rPr>
            <sz val="9"/>
            <color indexed="81"/>
            <rFont val="Segoe UI"/>
            <family val="2"/>
          </rPr>
          <t>Geplantes Jahr für den Start des Ausführungsphase (SIA-Phase 52).
Année prévue pour le début de la phase d'exécution (phase SIA 52). 
Anno previsto per l'inizio della fase di esecuzione (fase 52 del SIA).</t>
        </r>
      </text>
    </comment>
    <comment ref="D45" authorId="0" shapeId="0" xr:uid="{3039B716-7683-4028-8BBB-5980C770AFFB}">
      <text>
        <r>
          <rPr>
            <sz val="9"/>
            <color indexed="81"/>
            <rFont val="Segoe UI"/>
            <family val="2"/>
          </rPr>
          <t xml:space="preserve">Solarthermie-Anlagen werden auch bei "C1.4 Nutzung solare Energie" angerechnet. Bitte Solarthermie-Anlagen unter "Wärmeerzeugung" eingeben.
Les installations solaires thermiques sont également prises en compte dans "C1.4 Utilisation de l'énergie solaire". Veuillez saisir les installations solaires thermiques sous "Production de chaleur".
Gli impianti solari termici sono conteggiati anche in "C1.4 Utilizzo di energia solare". Inserire gli impianti solari termici come "produzione di calore".
</t>
        </r>
      </text>
    </comment>
    <comment ref="D54" authorId="0" shapeId="0" xr:uid="{AECDAAC9-FDB2-443A-B3A0-4B88A63D9ADA}">
      <text>
        <r>
          <rPr>
            <sz val="9"/>
            <color indexed="81"/>
            <rFont val="Segoe UI"/>
            <family val="2"/>
          </rPr>
          <t>Berechnung mit dem einfachen Nachweis gemäss Gebäudestandard Minergie oder einem zugelassen Ökobilanzierungstool. 
Calcul avec le justificatif simple selon le standard Minergie pour bâtiment ou un outil de calcul d'écobilan autorisé. 
Calcolo con la verifica semplificata secondo lo standard di costruzione Minergie oppure con uno strumento di ecobilancio riconosciuto.</t>
        </r>
      </text>
    </comment>
    <comment ref="D56" authorId="0" shapeId="0" xr:uid="{B30A0D72-8D86-48EA-B1FF-FAD928D14C19}">
      <text>
        <r>
          <rPr>
            <sz val="9"/>
            <color indexed="81"/>
            <rFont val="Segoe UI"/>
            <family val="2"/>
          </rPr>
          <t xml:space="preserve">Wärmeerzeugung für Heizung und Warmwasser. Spitzenlast bitte nachfolgend eingeben. Eingabe nur falls mehrere Wärmeerzeuger.
Production de chaleur pour le chauffage et l'eau chaude. Veuillez saisir la charge de pointe ci-dessous. 
Produzione di calore per riscaldamento e acqua calda. Inserire il picco di carico qui di seguito. </t>
        </r>
      </text>
    </comment>
    <comment ref="D57" authorId="0" shapeId="0" xr:uid="{C9EB2928-9BDD-40D1-8CD1-BC63DD56478D}">
      <text>
        <r>
          <rPr>
            <sz val="9"/>
            <color indexed="81"/>
            <rFont val="Segoe UI"/>
            <family val="2"/>
          </rPr>
          <t xml:space="preserve">Wärmeerzeugung für Heizung und Warmwasser. Spitzenlast bitte nachfolgend eingeben. Eingabe nur falls mehrere Wärmeerzeuger.
Production de chaleur pour le chauffage et l'eau chaude. A saisir uniquement si plusieurs générateurs de chaleur sont utilisés. Veuillez saisir la charge de pointe ci-dessous. 
Produzione di calore per riscaldamento e acqua calda. Inserire il picco di carico qui di seguito. Inserire solo se si utilizza più di un generatore di calore. </t>
        </r>
      </text>
    </comment>
    <comment ref="D58" authorId="0" shapeId="0" xr:uid="{1EC67177-80AA-4FFD-B80F-5FA38619E4FD}">
      <text>
        <r>
          <rPr>
            <sz val="9"/>
            <color indexed="81"/>
            <rFont val="Segoe UI"/>
            <family val="2"/>
          </rPr>
          <t xml:space="preserve">Wärmeerzeugung für Heizung und Warmwasser. Spitzenlast bitte nachfolgend eingeben. Eingabe nur falls mehrere Wärmeerzeuger.
Production de chaleur pour le chauffage et l'eau chaude. A saisir uniquement si plusieurs générateurs de chaleur sont utilisés. Veuillez saisir la charge de pointe ci-dessous. 
Produzione di calore per riscaldamento e acqua calda. Inserire il picco di carico qui di seguito. Inserire solo se si utilizza più di un generatore di calore. </t>
        </r>
      </text>
    </comment>
    <comment ref="D59" authorId="0" shapeId="0" xr:uid="{2F1AF1A2-F787-4528-B44C-4255EC6F5DF3}">
      <text>
        <r>
          <rPr>
            <sz val="9"/>
            <color indexed="81"/>
            <rFont val="Segoe UI"/>
            <family val="2"/>
          </rPr>
          <t>Fossile Spitzenlastabdeckung ist entsprechend dem aktuell gültigem Produktreglement Gebäudestandards MINERGIE / MINERGIE-P / MINERGIE-A zugelassen.
La couverture de la charge de pointe par des énergies fossiles est autorisée conformément au règlement des produits actuellement en vigueur pour les standards MINERGIE / MINERGIE-P / MINERGIE-A.
La copertura fossile dei picchi di carico è consentita in conformità al Regolamento di prodotto degli standard MINERGIE / MINERGIE-P / MINERGIE-A valido attualmente.</t>
        </r>
      </text>
    </comment>
  </commentList>
</comments>
</file>

<file path=xl/sharedStrings.xml><?xml version="1.0" encoding="utf-8"?>
<sst xmlns="http://schemas.openxmlformats.org/spreadsheetml/2006/main" count="737" uniqueCount="604">
  <si>
    <t>Minergie-Areal</t>
  </si>
  <si>
    <t>Kennzahlen</t>
  </si>
  <si>
    <t>Gebäudebezeichnung</t>
  </si>
  <si>
    <t>Wohnen MFH</t>
  </si>
  <si>
    <r>
      <t>m</t>
    </r>
    <r>
      <rPr>
        <vertAlign val="superscript"/>
        <sz val="9"/>
        <color theme="1"/>
        <rFont val="Arial"/>
        <family val="2"/>
      </rPr>
      <t>2</t>
    </r>
  </si>
  <si>
    <t>Summe</t>
  </si>
  <si>
    <t>Minergie-A</t>
  </si>
  <si>
    <r>
      <t>kWh/m</t>
    </r>
    <r>
      <rPr>
        <vertAlign val="superscript"/>
        <sz val="9"/>
        <color theme="1"/>
        <rFont val="Arial"/>
        <family val="2"/>
      </rPr>
      <t>2</t>
    </r>
  </si>
  <si>
    <t>Flächengewichter Durchschnitt</t>
  </si>
  <si>
    <t>kWp</t>
  </si>
  <si>
    <t>Dachfläche</t>
  </si>
  <si>
    <t>Übersicht</t>
  </si>
  <si>
    <t>Anforderung</t>
  </si>
  <si>
    <t>Erfüllt?</t>
  </si>
  <si>
    <t>Standard</t>
  </si>
  <si>
    <t>Minergie</t>
  </si>
  <si>
    <t>Wohnen EFH</t>
  </si>
  <si>
    <t>Verwaltung</t>
  </si>
  <si>
    <t>Minergie-P</t>
  </si>
  <si>
    <t xml:space="preserve">Schulen </t>
  </si>
  <si>
    <t>Minergie-ECO</t>
  </si>
  <si>
    <t>Verkauf</t>
  </si>
  <si>
    <t>Minergie-A-ECO</t>
  </si>
  <si>
    <t>Restaurant</t>
  </si>
  <si>
    <t>Minergie-P-ECO</t>
  </si>
  <si>
    <t>Versammlung</t>
  </si>
  <si>
    <t>Spitäler</t>
  </si>
  <si>
    <t>Industrie</t>
  </si>
  <si>
    <t>Lager</t>
  </si>
  <si>
    <t>Sportbauten</t>
  </si>
  <si>
    <t>Hallenbäder</t>
  </si>
  <si>
    <t>Noch offen</t>
  </si>
  <si>
    <t>≥</t>
  </si>
  <si>
    <t>≤</t>
  </si>
  <si>
    <t>Projektwert</t>
  </si>
  <si>
    <r>
      <t>kgCO</t>
    </r>
    <r>
      <rPr>
        <vertAlign val="subscript"/>
        <sz val="9"/>
        <color theme="1"/>
        <rFont val="Arial"/>
        <family val="2"/>
      </rPr>
      <t>2</t>
    </r>
    <r>
      <rPr>
        <sz val="9"/>
        <color theme="1"/>
        <rFont val="Arial"/>
        <family val="2"/>
      </rPr>
      <t>/m</t>
    </r>
    <r>
      <rPr>
        <vertAlign val="superscript"/>
        <sz val="9"/>
        <color theme="1"/>
        <rFont val="Arial"/>
        <family val="2"/>
      </rPr>
      <t>2</t>
    </r>
  </si>
  <si>
    <t>Eigenstromerzeugung</t>
  </si>
  <si>
    <t>Minergie-Kennzahl (MKZ)</t>
  </si>
  <si>
    <t>Sprache:</t>
  </si>
  <si>
    <t>französisch</t>
  </si>
  <si>
    <t>Uebersetzungsliste</t>
  </si>
  <si>
    <t>Minergie-Nachweis: Jahresversion und Jahr</t>
  </si>
  <si>
    <t>Auswahl</t>
  </si>
  <si>
    <t>deutsch</t>
  </si>
  <si>
    <t>italienisch</t>
  </si>
  <si>
    <t>Anleitung</t>
  </si>
  <si>
    <t>Version</t>
  </si>
  <si>
    <t>Gebäude</t>
  </si>
  <si>
    <t>a</t>
  </si>
  <si>
    <t>Heizwärmebedarf (Qh)</t>
  </si>
  <si>
    <t>THGE Erstellung</t>
  </si>
  <si>
    <t>Areal</t>
  </si>
  <si>
    <t>Belegung mit PV-Anlage</t>
  </si>
  <si>
    <t>Bestandesbauten mit Ausnahmeregelung</t>
  </si>
  <si>
    <t>Fläche</t>
  </si>
  <si>
    <t>Systemerneuerung nach Minergie</t>
  </si>
  <si>
    <t>Alter des rückgebauten Gebäudes</t>
  </si>
  <si>
    <t>EBF des rückgebauten Gebäudes</t>
  </si>
  <si>
    <t>THGE in Erstellung des rückgebauten Gebäudes</t>
  </si>
  <si>
    <t>Holzfeuerung</t>
  </si>
  <si>
    <t>Pelletfeuerung</t>
  </si>
  <si>
    <t>Elektro-Wassererwärmer</t>
  </si>
  <si>
    <t>Ölfeuerung</t>
  </si>
  <si>
    <t>Fernwärme (&lt;=50% nicht erneuerbar)</t>
  </si>
  <si>
    <t>Fernwärme (&gt;75% nicht erneuerbar)</t>
  </si>
  <si>
    <t>Fernwärme (&lt;=75% nicht erneuerbar)</t>
  </si>
  <si>
    <t>Fernwärme (&lt;=25% nicht erneuerbar)</t>
  </si>
  <si>
    <t>Berücksichtigte EBF</t>
  </si>
  <si>
    <t>Minergie-P(-ECO)-Gebäude</t>
  </si>
  <si>
    <t>Minergie-A(-ECO)-Gebäude</t>
  </si>
  <si>
    <t>Energiebezugsfläche EBF</t>
  </si>
  <si>
    <t>Index</t>
  </si>
  <si>
    <t>Übertrag aus Gebäude-Minergie-Nachweis (Pflicht bei Kompensation)</t>
  </si>
  <si>
    <t>Angaben zu den Gebäuden</t>
  </si>
  <si>
    <t>Minergie-Standard</t>
  </si>
  <si>
    <t>Werden Qh und MKZ zwischen Minergie-Gebäuden kompensiert?</t>
  </si>
  <si>
    <t>C1.4 Nutzung solare Energie</t>
  </si>
  <si>
    <t>C2.1 Treibhausgasemissionen in der Erstellung</t>
  </si>
  <si>
    <t>Erfüllung der Anforderungen im Fall von Kompensation zwischen Minergie-Gebäuden</t>
  </si>
  <si>
    <t>Pflichtvorgaben Minergie-Areal</t>
  </si>
  <si>
    <t>Liste</t>
  </si>
  <si>
    <t>Keine Minergie-A(-ECO)-Gebäude</t>
  </si>
  <si>
    <t>Keine Minergie-P(-ECO)-Gebäude</t>
  </si>
  <si>
    <t>Unterschrift</t>
  </si>
  <si>
    <t>Ort</t>
  </si>
  <si>
    <t>Datum</t>
  </si>
  <si>
    <t>Name und Vorname</t>
  </si>
  <si>
    <t>Die Bauherrschaft / Areal-Organisation bestätigt, dass die gemachten Angaben im vorliegenden Hilfstool korrekt sind.</t>
  </si>
  <si>
    <t>Hilfstool zu Vorgaben A1.1, C1.1, C1.4 und C2.1</t>
  </si>
  <si>
    <t>Ab- / Zuluft-WP</t>
  </si>
  <si>
    <t>Abwärme aus Gewerbe-/Klimakälte</t>
  </si>
  <si>
    <t>Abwasser-WP</t>
  </si>
  <si>
    <t>Erdregister-WP</t>
  </si>
  <si>
    <t>Erdsonden-WP</t>
  </si>
  <si>
    <t>Gasfeuerung / Gas-Wassererwärmer</t>
  </si>
  <si>
    <t>Gaswärmepumpe</t>
  </si>
  <si>
    <t>Grundwasser-WP</t>
  </si>
  <si>
    <t>Kompakt-WP</t>
  </si>
  <si>
    <t>Luft-Wärmepumpe</t>
  </si>
  <si>
    <t>Solarenergie thermisch</t>
  </si>
  <si>
    <t>WKK</t>
  </si>
  <si>
    <t>Erlaubt im Minergie-Areal?</t>
  </si>
  <si>
    <t>C1.1 Betriebsenergie</t>
  </si>
  <si>
    <t>erneuerbar</t>
  </si>
  <si>
    <t>nicht erneuerbar</t>
  </si>
  <si>
    <t>Keine Bestandesbauten mit Ausnahmeregelung</t>
  </si>
  <si>
    <t>Hinweise zum Hilftstool</t>
  </si>
  <si>
    <t>Alle Resultate sind auf dem Blatt "Uebersicht" verfügbar. Für die Zertifizierung ist die Unterschrift der Areal-Organisation, respektive der Bauherrschaft, auf dem Tabellenblatt "Uebersicht" erforderlich.</t>
  </si>
  <si>
    <t>Gebäudekategorie (Hauptnutzung) des rückgebauten Gebäudes</t>
  </si>
  <si>
    <t>Zertifikatsnummer</t>
  </si>
  <si>
    <t>Keine (Ersatz)neubauten</t>
  </si>
  <si>
    <t>Erfüllung der Anforderungen Minergie-Areal Themen  A und C</t>
  </si>
  <si>
    <t>Mit dem + in der Spaltenüberschrift weitere Gebäude einfügen</t>
  </si>
  <si>
    <t>Gebäudekategorie</t>
  </si>
  <si>
    <t>Zone</t>
  </si>
  <si>
    <t>Neubau</t>
  </si>
  <si>
    <t>Ja</t>
  </si>
  <si>
    <t>Nein</t>
  </si>
  <si>
    <t>Geschossfläche</t>
  </si>
  <si>
    <t>Fläche thermische Solarkollektoren</t>
  </si>
  <si>
    <t>PV-Anlage</t>
  </si>
  <si>
    <t>Thermische Solarkollektoren</t>
  </si>
  <si>
    <t>Erdsonde</t>
  </si>
  <si>
    <t>kg CO2-eq/kW</t>
  </si>
  <si>
    <t>kg CO2-eq/m2 EBF</t>
  </si>
  <si>
    <t>kg CO2-eq/m2 Kollektor</t>
  </si>
  <si>
    <t>total</t>
  </si>
  <si>
    <t>Basisgrenzwert THGE EBF</t>
  </si>
  <si>
    <t>Basisgrenzwert THGE GF-EBF</t>
  </si>
  <si>
    <t>Abschlag Rückbau</t>
  </si>
  <si>
    <t>EBF</t>
  </si>
  <si>
    <t>Ersatzneubau</t>
  </si>
  <si>
    <t>Energiebezugsfläche EBF für Berechnung</t>
  </si>
  <si>
    <t>m2</t>
  </si>
  <si>
    <t>Angaben zu rückgebauten Gebäuden</t>
  </si>
  <si>
    <t>Eingabefeld (Freiwillig)</t>
  </si>
  <si>
    <t>berücksichtigen</t>
  </si>
  <si>
    <t>Kompensation</t>
  </si>
  <si>
    <t>Fehlende Eingabe</t>
  </si>
  <si>
    <t>Bestandesbauten</t>
  </si>
  <si>
    <t>Berechnungen</t>
  </si>
  <si>
    <t>Kompensation von Kennzahlen bei Neubauten und Erneuerungen nach Minergie</t>
  </si>
  <si>
    <t>GF - EBF</t>
  </si>
  <si>
    <t>warm</t>
  </si>
  <si>
    <t>kalt</t>
  </si>
  <si>
    <r>
      <t>kgCO</t>
    </r>
    <r>
      <rPr>
        <vertAlign val="subscript"/>
        <sz val="9"/>
        <rFont val="Arial"/>
        <family val="2"/>
      </rPr>
      <t>2</t>
    </r>
  </si>
  <si>
    <r>
      <t>m</t>
    </r>
    <r>
      <rPr>
        <vertAlign val="superscript"/>
        <sz val="9"/>
        <rFont val="Arial"/>
        <family val="2"/>
      </rPr>
      <t>2</t>
    </r>
  </si>
  <si>
    <t>Angaben bei Bestandesbauten mit Ausnahmeregelung</t>
  </si>
  <si>
    <t>Treibhausgase in der Erstellung</t>
  </si>
  <si>
    <t>Wärmeerzeugung</t>
  </si>
  <si>
    <t>Übertrag aus Gebäude-Minergie-Nachweis</t>
  </si>
  <si>
    <t>Standardwert</t>
  </si>
  <si>
    <t>Standardwert überschreiben</t>
  </si>
  <si>
    <t>Zusätzliche</t>
  </si>
  <si>
    <t>A1.1 Zertifizierung nach Minergie (-P/-A/-ECO)</t>
  </si>
  <si>
    <t>Anteil Bestandesbauten mit Ausnahmeregelung</t>
  </si>
  <si>
    <t>Installierte Leistung</t>
  </si>
  <si>
    <t>Zuschlag</t>
  </si>
  <si>
    <t>Zuschläge und Abschläge ganzes Gebäude</t>
  </si>
  <si>
    <r>
      <t>kgCO</t>
    </r>
    <r>
      <rPr>
        <vertAlign val="subscript"/>
        <sz val="9"/>
        <rFont val="Arial"/>
        <family val="2"/>
      </rPr>
      <t>2</t>
    </r>
    <r>
      <rPr>
        <sz val="9"/>
        <rFont val="Arial"/>
        <family val="2"/>
      </rPr>
      <t>/m</t>
    </r>
    <r>
      <rPr>
        <vertAlign val="superscript"/>
        <sz val="9"/>
        <rFont val="Arial"/>
        <family val="2"/>
      </rPr>
      <t>2</t>
    </r>
  </si>
  <si>
    <t>Mittlere</t>
  </si>
  <si>
    <t>Mittlerer</t>
  </si>
  <si>
    <t>Treibhausgasemissionen Erstellung aller Neubauten im Areal</t>
  </si>
  <si>
    <t>Neubauten nach Minergie</t>
  </si>
  <si>
    <t>Erneuerungen nach Minergie (inkl. Systemerneuerungen)</t>
  </si>
  <si>
    <t>Kommentare / Bemerkungen</t>
  </si>
  <si>
    <t>aller Neubauten und Erneuerungen</t>
  </si>
  <si>
    <t>aller Neubauten</t>
  </si>
  <si>
    <t>Tabellenblatt "Eingabe"</t>
  </si>
  <si>
    <t>Tabellenblatt "Uebersicht"</t>
  </si>
  <si>
    <t>Eingabe</t>
  </si>
  <si>
    <t>Wird ein Bestandesbau rückgebaut?</t>
  </si>
  <si>
    <t>Angaben zum Rückbau von Bestandesbauten</t>
  </si>
  <si>
    <t>Angaben zum Neubau</t>
  </si>
  <si>
    <t>Energiebezugsflächen EBF nach Gebäudekategorie</t>
  </si>
  <si>
    <t>Wohnen</t>
  </si>
  <si>
    <r>
      <t>m</t>
    </r>
    <r>
      <rPr>
        <b/>
        <vertAlign val="superscript"/>
        <sz val="9"/>
        <color theme="1"/>
        <rFont val="Arial"/>
        <family val="2"/>
      </rPr>
      <t>2</t>
    </r>
  </si>
  <si>
    <t>Achtung: Summe weicht von EBF total ab. Bitte Eingabe prüfen.</t>
  </si>
  <si>
    <t>Energiebezugsflächen des Areals</t>
  </si>
  <si>
    <r>
      <t>kgCO</t>
    </r>
    <r>
      <rPr>
        <vertAlign val="subscript"/>
        <sz val="9"/>
        <color theme="1"/>
        <rFont val="Arial"/>
        <family val="2"/>
      </rPr>
      <t>2eq</t>
    </r>
    <r>
      <rPr>
        <sz val="9"/>
        <color theme="1"/>
        <rFont val="Arial"/>
        <family val="2"/>
      </rPr>
      <t>/m</t>
    </r>
    <r>
      <rPr>
        <vertAlign val="superscript"/>
        <sz val="9"/>
        <color theme="1"/>
        <rFont val="Arial"/>
        <family val="2"/>
      </rPr>
      <t>2</t>
    </r>
  </si>
  <si>
    <t>Eingabefeld</t>
  </si>
  <si>
    <t>Auswahlfeld</t>
  </si>
  <si>
    <t>kgCO2eq/m2 EBF Neubau</t>
  </si>
  <si>
    <t>Strumento di verifica dei requisiti A1.1, C1.1, C1.4 e C2.1</t>
  </si>
  <si>
    <t>Minergie-Quartiere</t>
  </si>
  <si>
    <t>Istruzioni</t>
  </si>
  <si>
    <t>Campo di input</t>
  </si>
  <si>
    <t>Trasposizione della verifica Minergie edificio</t>
  </si>
  <si>
    <t>Campo di selezione</t>
  </si>
  <si>
    <t>Versione</t>
  </si>
  <si>
    <t>Indici</t>
  </si>
  <si>
    <t>Edifici</t>
  </si>
  <si>
    <t>Caratteristiche degli edifici</t>
  </si>
  <si>
    <t>Designazione dell'edificio</t>
  </si>
  <si>
    <t>Categoria dell'edificio</t>
  </si>
  <si>
    <t>Superficie di riferimento energetico AE</t>
  </si>
  <si>
    <t>Standard Minergie</t>
  </si>
  <si>
    <t>AE dell'edificio demolito</t>
  </si>
  <si>
    <t>Età dell'edificio demolito</t>
  </si>
  <si>
    <t>Indice Minergie (IM)</t>
  </si>
  <si>
    <t>Fabbisogno termico (Qh)</t>
  </si>
  <si>
    <t>Produzione propria di energia elettrica</t>
  </si>
  <si>
    <t>Edificio Minergie-P(-ECO)</t>
  </si>
  <si>
    <t>Superficie</t>
  </si>
  <si>
    <t>Edificio Minergie-A(-ECO)</t>
  </si>
  <si>
    <t>Edifici esistenti con regolamentazioni eccezionali</t>
  </si>
  <si>
    <t>Superficie del tetto</t>
  </si>
  <si>
    <t>Occupazione con impianto FV</t>
  </si>
  <si>
    <t>Ridurre la demolizione</t>
  </si>
  <si>
    <t>Potenza installata</t>
  </si>
  <si>
    <t>Superficie di riferimento energetico del quartiere</t>
  </si>
  <si>
    <t>Somma</t>
  </si>
  <si>
    <t>Media ponderata delle superfici</t>
  </si>
  <si>
    <t>Requisito</t>
  </si>
  <si>
    <t>Valore di progetto</t>
  </si>
  <si>
    <t>Emissioni di gas serra nella costruzione di tutti i nuovi edifici del quartiere</t>
  </si>
  <si>
    <t>Quartiere</t>
  </si>
  <si>
    <t>Abitazioni PF</t>
  </si>
  <si>
    <t>Abitazioni MF</t>
  </si>
  <si>
    <t>Amministrazione</t>
  </si>
  <si>
    <t>Scuole</t>
  </si>
  <si>
    <t>Negozi</t>
  </si>
  <si>
    <t>Ristoranti</t>
  </si>
  <si>
    <t>Locali pubblici</t>
  </si>
  <si>
    <t>Ospedali</t>
  </si>
  <si>
    <t>Magazzini</t>
  </si>
  <si>
    <t>Impianti sportivi</t>
  </si>
  <si>
    <t>Piscine coperte</t>
  </si>
  <si>
    <t>Zona</t>
  </si>
  <si>
    <t>Ancora aperto</t>
  </si>
  <si>
    <t>Nuova costruzione sostitutiva</t>
  </si>
  <si>
    <t>Considerare</t>
  </si>
  <si>
    <t>Panoramica</t>
  </si>
  <si>
    <t>Soddisfatto?</t>
  </si>
  <si>
    <t>Caratteristiche degli edifici demoliti</t>
  </si>
  <si>
    <t>EGES nela costruzione dell'edificio demolito</t>
  </si>
  <si>
    <t>Impianto VMC con espansione diretta</t>
  </si>
  <si>
    <t>Calore residuo industriale/dalla climatizzazione</t>
  </si>
  <si>
    <t>Pompa di calore ad acqua di scarico</t>
  </si>
  <si>
    <t>Scaldacqua elettrico</t>
  </si>
  <si>
    <t>Pompa di calore con registro geotermico orizzontale</t>
  </si>
  <si>
    <t>Pompa di calore con sonde geotermiche</t>
  </si>
  <si>
    <t>Teleriscaldamento (&lt;= 25% di energia non rinnovabile)</t>
  </si>
  <si>
    <t>Teleriscaldamento (&lt;= 50% di energia non rinnovabile)</t>
  </si>
  <si>
    <t>Teleriscaldamento (&lt;= 75% di energia non rinnovabile)</t>
  </si>
  <si>
    <t>Teleriscaldamento (&gt;75% di energia non rinnovabile)</t>
  </si>
  <si>
    <t>Caldaia a gasolio / scaldacqua a gas</t>
  </si>
  <si>
    <t>Pompa di calore a gas</t>
  </si>
  <si>
    <t>Pompa di calore ad acqua sotterranea</t>
  </si>
  <si>
    <t>Caldaia a legna</t>
  </si>
  <si>
    <t>Pompa di calore compatta</t>
  </si>
  <si>
    <t>Pompa di calore ad aria</t>
  </si>
  <si>
    <t>Bruciatore a gasolio</t>
  </si>
  <si>
    <t>Caldaia a pellet</t>
  </si>
  <si>
    <t>Energia solare termica</t>
  </si>
  <si>
    <t>Cogenerazione</t>
  </si>
  <si>
    <t>rinnovabile</t>
  </si>
  <si>
    <t>È consentito in Minergie-Quartiere?</t>
  </si>
  <si>
    <t>Osservazioni sullo strumento di verifica</t>
  </si>
  <si>
    <t>non rinnovabile</t>
  </si>
  <si>
    <t>Media</t>
  </si>
  <si>
    <t>Foglio di calcolo "Input"</t>
  </si>
  <si>
    <t>Foglio di calcolo "Panoramica"</t>
  </si>
  <si>
    <t xml:space="preserve">Tutti i risultati sono disponibili nel foglio "Panoramica". Per la certificazione sono necessarie le firme dell'organizazione di quartiere o dei proprietari degli edifici, nel foglio "Panoramica". </t>
  </si>
  <si>
    <t>Categoria dell'edificio (uso principale) dell'edificio demolito</t>
  </si>
  <si>
    <t>medio</t>
  </si>
  <si>
    <t>Nuova costruzione</t>
  </si>
  <si>
    <t>Sì</t>
  </si>
  <si>
    <t>No</t>
  </si>
  <si>
    <t>Superficie di piano</t>
  </si>
  <si>
    <t>Superficie dei collettori solari termici</t>
  </si>
  <si>
    <t>Supplementi e deduzioni dell'intero edificio</t>
  </si>
  <si>
    <t>Impianto FV</t>
  </si>
  <si>
    <t>Collettori solari termici</t>
  </si>
  <si>
    <t>Sonde geotermiche</t>
  </si>
  <si>
    <t xml:space="preserve">Totale </t>
  </si>
  <si>
    <t>Valore limite di base per le EGES AE</t>
  </si>
  <si>
    <t>Valore limite di base per le EGES PT AE</t>
  </si>
  <si>
    <t>Supplemento</t>
  </si>
  <si>
    <t>Un edificio esistente verrà demolito?</t>
  </si>
  <si>
    <t>Nessuna nuova costruzione (sostitutiva)</t>
  </si>
  <si>
    <t>AE considerata</t>
  </si>
  <si>
    <t>Utilizzare il + nell'intestazione della colonna per inserire altri edifici.</t>
  </si>
  <si>
    <t>Qh e IM sono compensati tra edifici Minergie?</t>
  </si>
  <si>
    <t>Trasposizione della verifica Minergie edificio (obbligatorio in caso di certificazione provvisoria)</t>
  </si>
  <si>
    <t>Generatore di calore</t>
  </si>
  <si>
    <t>Input</t>
  </si>
  <si>
    <t>Nuove costruzioni secondo Minergie</t>
  </si>
  <si>
    <t>C1.4 Utilizzo di energia solare</t>
  </si>
  <si>
    <t>C2.1 Emissioni di gas serra nella costruzione</t>
  </si>
  <si>
    <t>Quota di edifici esistenti con regolamentazioni eccezionali</t>
  </si>
  <si>
    <t>Soddisfazione dei requisiti Minergie-Quartiere per i temi A e C</t>
  </si>
  <si>
    <t>Soddisfazione dei requisiti in caso di compensazione tra edifici Minergie</t>
  </si>
  <si>
    <t>Input mancante</t>
  </si>
  <si>
    <t>Requisiti obbligatori Minergie-Quartiere</t>
  </si>
  <si>
    <t>Lista</t>
  </si>
  <si>
    <t>Compensazione</t>
  </si>
  <si>
    <t>Ammodernamento di sistema secondo Minergie</t>
  </si>
  <si>
    <t>Nessun edificio Minergie-A(-ECO)</t>
  </si>
  <si>
    <t>Nessun edificio Minergie-P(-ECO)</t>
  </si>
  <si>
    <t>Numero di certificato</t>
  </si>
  <si>
    <t>La proprietà/organizzazione di quartiere conferma che le informazioni fornite nel presente strumento di verifica sono corrette.</t>
  </si>
  <si>
    <t>Firma</t>
  </si>
  <si>
    <t>Luogo</t>
  </si>
  <si>
    <t>Data</t>
  </si>
  <si>
    <t>Nome e cognome</t>
  </si>
  <si>
    <t>Nessun edificio esistente con regolamentazioni eccezionali</t>
  </si>
  <si>
    <t>caldo</t>
  </si>
  <si>
    <t>freddo</t>
  </si>
  <si>
    <t xml:space="preserve">Edifici esistenti </t>
  </si>
  <si>
    <t>Calcoli</t>
  </si>
  <si>
    <t>AE</t>
  </si>
  <si>
    <t>PT - AE</t>
  </si>
  <si>
    <t>Caratteristiche per gli edifici esistenti con regolamentazioni speciali</t>
  </si>
  <si>
    <t>Gas serra nella costruzione</t>
  </si>
  <si>
    <t>Campo di input (volontario)</t>
  </si>
  <si>
    <t>Valore standard</t>
  </si>
  <si>
    <t>Sovrascrivere il valore standard</t>
  </si>
  <si>
    <t>kgCO2eq/m2 AE nuova costruzione</t>
  </si>
  <si>
    <t>Ulteriori</t>
  </si>
  <si>
    <t>A1.1 Certificazione secondo Minergie (-P/-A/-ECO)</t>
  </si>
  <si>
    <t>C1.1 Energia d'esercizio</t>
  </si>
  <si>
    <t>Commenti / osservazioni</t>
  </si>
  <si>
    <t>tutte le nuove costruzioni</t>
  </si>
  <si>
    <t>Caratteristiche della demolizione degli edifici esistenti</t>
  </si>
  <si>
    <t>Caratteristiche delle nuove costruzioni</t>
  </si>
  <si>
    <t>Superficie di riferimento energetico AE secondo la categoria dell'edificio</t>
  </si>
  <si>
    <t>Abitare</t>
  </si>
  <si>
    <t>Attenzione: il totale differisce dal totale dell'AE. Per favore verificare l'inserimento.</t>
  </si>
  <si>
    <t>Kommentar Eingabe!D22
Gebäude mit Erneuerungs- und Neubau-Zonen müssen als separate Gebäude eingegeben werden.</t>
  </si>
  <si>
    <t>Kommentar Eingabe!D12
Standardmässig werden 80% der GF als EBF verwendet. Bei Abweichung kann der Wert in der folgenden Zeile überschrieben werden.</t>
  </si>
  <si>
    <t>Kommentar Eingabe!D10
Jedes Gebäude ist einzeln zu erfassen</t>
  </si>
  <si>
    <t>Anrechnung PV-Anlage (20% Eigenverbrauch + 40% der Einspeisung)</t>
  </si>
  <si>
    <t>Anteil</t>
  </si>
  <si>
    <t>Das Total der EBF-Anteile muss 100% ergeben!</t>
  </si>
  <si>
    <t>Spitzenlast</t>
  </si>
  <si>
    <t>Kommentar Eingabe!D55
Wärmeerzeugung für Heizung und Warmwasser. Spitzenlast bitte nachfolgend eingeben.</t>
  </si>
  <si>
    <t>Kommentar Eingabe!D56 und D57
Wärmeerzeugung für Heizung und Warmwasser. Spitzenlast bitte nachfolgend eingeben. Eingabe nur falls mehrere Wärmeerzeuger eingesetzt werden.</t>
  </si>
  <si>
    <t>Kommentar Eingabe!D58
Fossile Spitzenlastabdeckung ist entsprechend dem aktuell gültigem Produktreglement Gebäudestandards MINERGIE / MINERGIE-P / MINERGIE-A zugelassen.</t>
  </si>
  <si>
    <t xml:space="preserve">Kommentar Eingabe!D53
Berechnung mit dem einfachen Nachweis gemäss Gebäudestandard Minergie oder einem zugelassen Ökobilanzierungstool. </t>
  </si>
  <si>
    <t>Effizienz Solarthermie / PV</t>
  </si>
  <si>
    <t>kW/m2</t>
  </si>
  <si>
    <t>Haben alle Gebäude eine erneuerbare Wärmeerzeugung (ohne Spitzenlast)?</t>
  </si>
  <si>
    <t>Kommentar Eingabe!D44
Solarthermie-Anlagen werden auch bei "C1.4 Nutzung solare Energie" angerechnet. Bitte Solarthermie-Anlagen unter "Wärmeerzeugung" eingeben.</t>
  </si>
  <si>
    <t>PV-Anlage nicht zugelassen</t>
  </si>
  <si>
    <t>PV-Anlage zugelassen</t>
  </si>
  <si>
    <t>leer</t>
  </si>
  <si>
    <t>Bauten im Schutzinventar: lässt kommunale Vorschrift PV-Anlage  zu?</t>
  </si>
  <si>
    <t>Outil d'aide pour les exigences A1.1, C1.1, C1.4 et C2.1</t>
  </si>
  <si>
    <t>Minergie-Quartier</t>
  </si>
  <si>
    <t>Instructions</t>
  </si>
  <si>
    <t>Champ de saisie</t>
  </si>
  <si>
    <t>Report du justificatif Minergie pour bâtiment</t>
  </si>
  <si>
    <t>Champ à sélectionner</t>
  </si>
  <si>
    <t>Chiffres clés</t>
  </si>
  <si>
    <t>Bâtiment</t>
  </si>
  <si>
    <t>Informations sur les bâtiments</t>
  </si>
  <si>
    <t>Désignation du bâtiment</t>
  </si>
  <si>
    <t>Catégorie de bâtiment</t>
  </si>
  <si>
    <t>Surface de référence énergétique SRE</t>
  </si>
  <si>
    <t>SRE du bâtiment déconstruit</t>
  </si>
  <si>
    <t>Âge du bâtiment déconstruit</t>
  </si>
  <si>
    <t>Compensation des indices pour les nouvelles constructions et les rénovations Minergie</t>
  </si>
  <si>
    <t>Indice Minergie (MKZ)</t>
  </si>
  <si>
    <t>Besoin de chaleur pour le chauffage (Qh)</t>
  </si>
  <si>
    <t>Autoproduction d'électricité</t>
  </si>
  <si>
    <t>Bâtiment Minergie-P(-ECO)</t>
  </si>
  <si>
    <t>Surface</t>
  </si>
  <si>
    <t>Bâtiment Minergie-A(-ECO)</t>
  </si>
  <si>
    <t>Bâtiments existants avec dérogation</t>
  </si>
  <si>
    <t>Surface du toit</t>
  </si>
  <si>
    <t>Exploité avec une installation PV</t>
  </si>
  <si>
    <t>Péjoration "Démolition"</t>
  </si>
  <si>
    <t>Puissance installée</t>
  </si>
  <si>
    <t>Surfaces de référence énergétique du quartier</t>
  </si>
  <si>
    <t>Total</t>
  </si>
  <si>
    <t>Poids moyen pondéré par la surface</t>
  </si>
  <si>
    <t>Exigence</t>
  </si>
  <si>
    <t>Valeur du projet</t>
  </si>
  <si>
    <t>Quartier</t>
  </si>
  <si>
    <t>Habitat collectif</t>
  </si>
  <si>
    <t>Habitat individuel</t>
  </si>
  <si>
    <t>Administration</t>
  </si>
  <si>
    <t>École</t>
  </si>
  <si>
    <t>Commerce</t>
  </si>
  <si>
    <t>Restauration</t>
  </si>
  <si>
    <t>Lieu de rassemblement</t>
  </si>
  <si>
    <t>Hôpital</t>
  </si>
  <si>
    <t>Dépôt</t>
  </si>
  <si>
    <t>Installation sportive</t>
  </si>
  <si>
    <t>Piscine couverte</t>
  </si>
  <si>
    <t>Encore ouvert</t>
  </si>
  <si>
    <t>Construction de remplacement</t>
  </si>
  <si>
    <t>tiennent compte</t>
  </si>
  <si>
    <t>Aperçu</t>
  </si>
  <si>
    <t>Respecté?</t>
  </si>
  <si>
    <t>Informations sur les bâtiments déconstruits</t>
  </si>
  <si>
    <t>Production de chaleur</t>
  </si>
  <si>
    <t>PAC air fourni / air évacué</t>
  </si>
  <si>
    <t>PAC sur eaux usées</t>
  </si>
  <si>
    <t>Chauffe-eau électrique</t>
  </si>
  <si>
    <t>PAC à registre terrestre</t>
  </si>
  <si>
    <t>PAC à sondes géothermiques</t>
  </si>
  <si>
    <t>Chauffage à distance (&lt;=25% non renouvelable)</t>
  </si>
  <si>
    <t>Chauffage à distance (&lt;=50% non renouvelable)</t>
  </si>
  <si>
    <t>Chauffage à distance (&lt;=75% non renouvelable)</t>
  </si>
  <si>
    <t>Chauffage à distance (&gt;75% non renouvelable)</t>
  </si>
  <si>
    <t>Chauffage au gaz / Chauffe-eau à gaz</t>
  </si>
  <si>
    <t>Pompe à chaleur à gaz</t>
  </si>
  <si>
    <t>PAC eau-eau</t>
  </si>
  <si>
    <t>Chauffage au bois</t>
  </si>
  <si>
    <t>PAC compacte</t>
  </si>
  <si>
    <t>PAC air-air</t>
  </si>
  <si>
    <t>Chauffage au mazout</t>
  </si>
  <si>
    <t>Chauffage aux pellets</t>
  </si>
  <si>
    <t>Énergie solaire thermique</t>
  </si>
  <si>
    <t>CCF</t>
  </si>
  <si>
    <t>renouvelable</t>
  </si>
  <si>
    <t>Autorisé dans le quartier Minergie ?</t>
  </si>
  <si>
    <t>Remarques sur l'outil d'aide</t>
  </si>
  <si>
    <t>non renouvelable</t>
  </si>
  <si>
    <t>Moyen</t>
  </si>
  <si>
    <t>Feuille de calcul "Entrée"</t>
  </si>
  <si>
    <t>Tous les résultats sont disponibles sur la feuille "Aperçu". Pour la certification, la signature du management du quartier, respectivement du maître d'ouvrage, est nécessaire sur la feuille "Aperçu".</t>
  </si>
  <si>
    <t>Catégorie de bâtiment (affectation principale) du bâtiment déconstruit</t>
  </si>
  <si>
    <t>Moyenne</t>
  </si>
  <si>
    <t>Nouvelle construction</t>
  </si>
  <si>
    <t>Oui</t>
  </si>
  <si>
    <t>Non</t>
  </si>
  <si>
    <t>Surface des capteurs solaires thermiques</t>
  </si>
  <si>
    <t>Suppléments et déductions bâtiment entier</t>
  </si>
  <si>
    <t>Installation PV</t>
  </si>
  <si>
    <t>Capteurs solaires thermiques</t>
  </si>
  <si>
    <t>Sonde géothermique</t>
  </si>
  <si>
    <t>Limite de base EGES SRE</t>
  </si>
  <si>
    <t>Limite de base EGES SP-SRE</t>
  </si>
  <si>
    <t>Supplément</t>
  </si>
  <si>
    <t>Un bâtiment existant est-il déconstruit ?</t>
  </si>
  <si>
    <t>Pas de nouvelles constructions (de remplacement)</t>
  </si>
  <si>
    <t>SRE prise en compte</t>
  </si>
  <si>
    <t>Insérer d'autres bâtiments avec le + dans l'intitulé de la colonne</t>
  </si>
  <si>
    <t>Qh et MKZ sont-ils compensés entre les bâtiments Minergie ?</t>
  </si>
  <si>
    <t>Report du justificatif énergétique du bâtiment (obligatoire en cas de compensation)</t>
  </si>
  <si>
    <t>Entrée</t>
  </si>
  <si>
    <t>Nouvelles constructions Minergie</t>
  </si>
  <si>
    <t>C1.4 Utilisation de l'énergie solaire</t>
  </si>
  <si>
    <t>C2.1 EGES gris</t>
  </si>
  <si>
    <t>Part des bâtiments existants avec dérogation</t>
  </si>
  <si>
    <t>Respect des exigences Minergie-Quartier Thèmes A et C</t>
  </si>
  <si>
    <t>Respect des exigences en cas de compensation entre bâtiments Minergie</t>
  </si>
  <si>
    <t>Entrée manquante</t>
  </si>
  <si>
    <t>Exigences Minergie-Quartier</t>
  </si>
  <si>
    <t>Compensation</t>
  </si>
  <si>
    <t>Modèle de rénovation Minergie</t>
  </si>
  <si>
    <t>Pas de bâtiments Minergie-A(-ECO)</t>
  </si>
  <si>
    <t>Pas de bâtiments Minergie-P(-ECO)</t>
  </si>
  <si>
    <t>Rénovations Minergie (y compris avec modèle de rénovation minergie)</t>
  </si>
  <si>
    <t>Numéro de certificat</t>
  </si>
  <si>
    <t>Le maître d'ouvrage / le management du quartier confirme que les informations fournies dans le présent outil d'aide sont correctes.</t>
  </si>
  <si>
    <t>Signature</t>
  </si>
  <si>
    <t>Lieu</t>
  </si>
  <si>
    <t>Date</t>
  </si>
  <si>
    <t>Nom et prénom</t>
  </si>
  <si>
    <t>Pas de bâtiments existants avec dérogation</t>
  </si>
  <si>
    <t>chaud</t>
  </si>
  <si>
    <t>froid</t>
  </si>
  <si>
    <t>Bâtiments existants</t>
  </si>
  <si>
    <t>Calculs</t>
  </si>
  <si>
    <t>SRE</t>
  </si>
  <si>
    <t>SP - SRE</t>
  </si>
  <si>
    <t>Données pour les bâtiments existants avec dérogation</t>
  </si>
  <si>
    <t>Champ de saisie (facultatif)</t>
  </si>
  <si>
    <t>Valeur par défaut</t>
  </si>
  <si>
    <t>Remplacer la valeur par défaut</t>
  </si>
  <si>
    <t>kgCO2eq/m2 SRE Nouvelle construction</t>
  </si>
  <si>
    <t>Supplémentaires</t>
  </si>
  <si>
    <t>A1.1 Certification Minergie (-P/-A/-ECO)</t>
  </si>
  <si>
    <t>C1.1 Énergie d'exploitation</t>
  </si>
  <si>
    <t>Commentaires / remarques</t>
  </si>
  <si>
    <t>de toutes les nouvelles constructions et rénovations</t>
  </si>
  <si>
    <t>de toutes les nouvelles constructions</t>
  </si>
  <si>
    <t>Données relatives à la déconstruction des bâtiments existants</t>
  </si>
  <si>
    <t>Données relatives aux nouvelles constructions</t>
  </si>
  <si>
    <t>Surfaces de référence énergétique SRE par catégorie de bâtiment</t>
  </si>
  <si>
    <t>Attention : la somme diffère du total de la SRE. Veuillez vérifier votre saisie.</t>
  </si>
  <si>
    <t>Tous les bâtiments ont-ils une production de chaleur renouvelable (sauf charge de pointe)?</t>
  </si>
  <si>
    <t>Efficacité solaire thermique / PV</t>
  </si>
  <si>
    <t>Le total des SRE par zone doit donner 100%</t>
  </si>
  <si>
    <t>Commentaire entrée!D10
Chaque bâtiment doit être saisi individuellement.</t>
  </si>
  <si>
    <t>Commentaire entrée!D22
Les bâtiments avec des zones de rénovation et de nouvelle construction doivent être saisis comme des bâtiments séparés.</t>
  </si>
  <si>
    <t xml:space="preserve"> Commentaire entrée!D55
Production de chaleur pour le chauffage et l'eau chaude. Veuillez saisir la charge de pointe ci-dessous.</t>
  </si>
  <si>
    <t>Prise en compte de l'installation PV (20% de consommation propre + 40% de l'injection)</t>
  </si>
  <si>
    <t>Surface de référence énergétique SRE pour le calcul</t>
  </si>
  <si>
    <t>Part</t>
  </si>
  <si>
    <t>Charge de pointe</t>
  </si>
  <si>
    <t>Commentaire Entrée!D56 et D57
Production de chaleur pour le chauffage et l'eau chaude. Veuillez indiquer la charge de pointe ci-dessous. A saisir uniquement si plusieurs générateurs de chaleur sont utilisés.</t>
  </si>
  <si>
    <t>Commentaire entrée!D44
Les installations solaires thermiques sont également prises en compte dans "C1.4 Utilisation de l'énergie solaire". Veuillez saisir les installations solaires thermiques sous "Production de chaleur".</t>
  </si>
  <si>
    <t>Installation PV autorisée</t>
  </si>
  <si>
    <t>Installation PV non autorisée</t>
  </si>
  <si>
    <t>vide</t>
  </si>
  <si>
    <t xml:space="preserve">Commentaire entrée!D53
Calcul avec le justificatif simple selon le standard Minergie pour bâtiment ou un outil de calcul d'écobilan autorisé. </t>
  </si>
  <si>
    <t>Commentaire entrée!D58
La couverture de la charge de pointe par des énergies fossiles est autorisée conformément au règlement des produits actuellement en vigueur pour les standards MINERGIE / MINERGIE-P / MINERGIE-A.</t>
  </si>
  <si>
    <t>Bâtiments dans l'inventaire de protection : les dispositions légales communales autorisent-t-elles les installations PV ?</t>
  </si>
  <si>
    <t>Compensazione degli indici per le nuove costruzioni e i risanamenti secondo Minergie</t>
  </si>
  <si>
    <t>Emissione di gas serra EGES</t>
  </si>
  <si>
    <t>Tutti gli edifici hanno una produzione del calore da fonte rinnovabile (esclusi picchi di carico)?</t>
  </si>
  <si>
    <t>Efficienza solare termico / PV</t>
  </si>
  <si>
    <t>Il totale dell'AE deve corrispondere al 100%!</t>
  </si>
  <si>
    <t>Risanamento secondo Minergie (incl. ammodernamento di sistema)</t>
  </si>
  <si>
    <t>tutte le nuove costruzioni e i risanamenti</t>
  </si>
  <si>
    <t>Commento Eingabe!D10
Ogni edificio deve essere registrato singolarmente</t>
  </si>
  <si>
    <t xml:space="preserve">Commento Eingabe!D12
Per impostazione standard, l'80% della superficie di pavimento viene utilizzata come AE. In caso di scostamento, è possibile sovrascrivere il valore. </t>
  </si>
  <si>
    <t>Commento Eingabe!D22
Gli edifici con zone risanate e zone nuove devono essere inseriti come edifici separati</t>
  </si>
  <si>
    <t>Commento Eingabe!D53
Calcolo con la verifica semplificata secondo lo standard di costruzione Minergie oppure con uno strumento di ecobilancio riconosciuto.</t>
  </si>
  <si>
    <t>Commento Eingabe!D55
Produzione di calore per riscaldamento e acqua calda. Inserire il picco di carico qui di seguito.</t>
  </si>
  <si>
    <t>Imputazione dell'impianto fotovoltaico (20% autoconsumo + 40% dell'immissione in rete)</t>
  </si>
  <si>
    <t>Superficie di riferimento energetico AE per il calcolo</t>
  </si>
  <si>
    <t>Percentuale</t>
  </si>
  <si>
    <t>Picco di carico</t>
  </si>
  <si>
    <t xml:space="preserve">
Commentaire Eingabe!D56 e D57
Produzione di calore per riscaldamento e acqua calda. Inserire il picco di carico qui di seguito. Inserire solo se si utilizza più di un generatore di calore. </t>
  </si>
  <si>
    <t>Commentaire Eingabe!D58
La copertura fossile dei picchi di carico è consentita in conformità al Regolamento di prodotto degli standard MINERGIE / MINERGIE-P / MINERGIE-A valido attualmente.</t>
  </si>
  <si>
    <t>Commentaire Eingabe!D44
Gli impianti solari termici sono conteggiati anche in "C1.4 Utilizzo di energia solare". Inserire gli impianti solari termici come "produzione di calore".</t>
  </si>
  <si>
    <t>Impianto PV consentito</t>
  </si>
  <si>
    <t>Impianto PV non consentito</t>
  </si>
  <si>
    <t>vuoto</t>
  </si>
  <si>
    <t>Edifici nell'inventario di protezione: i regolamenti comunali permettono l'installazione di impianti PV?</t>
  </si>
  <si>
    <t>%</t>
  </si>
  <si>
    <t>Feuille de calcul "Aperçu"</t>
  </si>
  <si>
    <t>Habitation</t>
  </si>
  <si>
    <t>Emissions grises</t>
  </si>
  <si>
    <t>Emissions grises de tous les nouveaux bâts. du quartier</t>
  </si>
  <si>
    <t>Emissions grises du bâtiment déconstruit</t>
  </si>
  <si>
    <t>Rejets de chaleur provenant d'installations de production de froid (industriel ou pour la climatisation)</t>
  </si>
  <si>
    <t>Surface de plancher</t>
  </si>
  <si>
    <t>Commentaire entrée!D12
Par défaut, 80% de la SP est utilisée comme SRE. En cas d'écart, la valeur peut être remplacée dans la ligne suivante.</t>
  </si>
  <si>
    <t>Début de la mise en œuvre nouvelle construction / rénovation (année)</t>
  </si>
  <si>
    <t>Inizio della nuova costruzione/risanamento (anno)</t>
  </si>
  <si>
    <t>Baubeginn Neubau / Erneuerung (Jahr)</t>
  </si>
  <si>
    <t>Nom du quartier</t>
  </si>
  <si>
    <t>Nome del quartiere</t>
  </si>
  <si>
    <t>Areal Name</t>
  </si>
  <si>
    <t>Neubau nach Minergie</t>
  </si>
  <si>
    <t>Erneuerung nach Minergie</t>
  </si>
  <si>
    <t>Nouvelle construction Minergie</t>
  </si>
  <si>
    <t>Rénovation Minergie</t>
  </si>
  <si>
    <t>Nuova costruzione Minergie</t>
  </si>
  <si>
    <t>Risanamento secondo Minergie</t>
  </si>
  <si>
    <t>Gebäude-ID gemäss Label-Plattform</t>
  </si>
  <si>
    <t>ID du bâtiment selon la Plateforme-Label</t>
  </si>
  <si>
    <t>Kommentar Eingabe!D11
Jedes Gebäude im Areal ist in der Label-Plattform zu erfassen, siehe auch Anwendungshilfe. Die Gebäude-ID ist eine Zahlenfolge mit B am Anfang. Z.B. B11111.</t>
  </si>
  <si>
    <t>Angaben bei Neubauten nach Minergie</t>
  </si>
  <si>
    <t>Données pour les nouvelles constructions Minergie</t>
  </si>
  <si>
    <t>Caratteristiche per le nuove costruzioni secondo Minergie</t>
  </si>
  <si>
    <t>Keine Erneuerung (ohne Grund)</t>
  </si>
  <si>
    <t>Erneuerung nach GEAK A/B/C oder SNBS</t>
  </si>
  <si>
    <t>Neubau oder Bestandesbau?</t>
  </si>
  <si>
    <t>Bestandesbau</t>
  </si>
  <si>
    <t>Keine Erneuerung (bestehendes Minergie-Zertifikat)</t>
  </si>
  <si>
    <t>Keine Erneuerung (Gebäude im Schutzinventar)</t>
  </si>
  <si>
    <t>Art der Erneuerung der Gebäudehülle</t>
  </si>
  <si>
    <t>Anteil Minergie-Gebäude im Areal</t>
  </si>
  <si>
    <t>Bauvorhaben</t>
  </si>
  <si>
    <t xml:space="preserve">Dieses Hilfstool wird für den Nachweis folgender Vorgaben benötigt:
- A1.1 Zertifizierung nach Minergie (-P/-A/-ECO)
- C1.1 Betriebsenergie
- C1.4 Nutzung solare Energie
- C2.1 Treibhausgasemissionen in der Erstellung
Der Label-Plattform ist zu entnehmen, welche ergänzenden Nachweise eingereicht werden müssen.
</t>
  </si>
  <si>
    <t>Cet outil d'aide est nécessaire pour la justification du respect des exigences suivantes :
 - A1.1 Certification Minergie (-P/-A/-ECO) 
- C1.1 Énergie d'exploitation 
- C1.4 Utilisation de l'énergie solaire 
- C2.1 Émissions de gaz à effet de serre gris
La Plateforme-Label indique quels justificatifs complémentaires doivent être fournis.</t>
  </si>
  <si>
    <t>Questo strumento di verifica è necessario per la verifica dei seguenti requisiti:
- A1.1 Certificazione secondo Minergie (-P/-A/-ECO)
- C1.1 Energia d'esercizio
- C1.4 Utilizzo di energia solare
- C2.1 Emissioni di gas serra nella costruzione
La Piattaforma-Label mostra quali verifiche supplementari devono essere presentate.</t>
  </si>
  <si>
    <t>ID edificio secondo la Piattaforma-Label</t>
  </si>
  <si>
    <t>Alle Eingaben erfolgen auf dem Tabellenblatt "Eingabe". Die Eingabefelder sind abhängig von der Art der Eingabe farbig markiert (siehe rechts).
Angaben zur Kompensation von Kennzahlen (Zeile 61 ff) können erst mit dem Vorliegen der Einzelgebäude-Nachweise ausgefüllt werden und sind in der provisorischen Zertifizierung nicht zwingend erforderlich.</t>
  </si>
  <si>
    <t>Toutes les saisies s'effectuent sur la feuille de calcul "Saisie". Les champs de saisie sont marqués en couleur en fonction du type de saisie (voir à droite).
Les indications relatives à la compensation possible entre indicateurs (ligne 61 et suivantes) ne peuvent être remplies qu'une fois les justificatifs des bâtiments individuels disponibles et ne sont pas obligatoires dans la certification provisoire.</t>
  </si>
  <si>
    <t xml:space="preserve">Tutti i dati vengono inseriti nel foglio di calcolo "Input". I campi di input sono contrassegnati da un colore a seconda del tipo di inserimento (si veda a destra).
Le caratteristiche della compensazione dell'indice (riga 61 e seguenti) possono essere compilate solamente quando sono disponibili le verifiche dei signoli edifici e non sono obbligatorie nella certificazione provvisoria. </t>
  </si>
  <si>
    <t>Type de rénovation de l'enveloppe du bâtiment</t>
  </si>
  <si>
    <t>Pas de rénovation (bâtiment dans l'inventaire de protection)</t>
  </si>
  <si>
    <t>Nessun risanamento (edifici nell'inventario dei beni protetti)</t>
  </si>
  <si>
    <t>Nessun risanamento (Certificato Minergie esistente)</t>
  </si>
  <si>
    <t>Pas de rénovation (certificat Minergie existant)</t>
  </si>
  <si>
    <t>Rénovation selon CECB A/B/C ou SNBS</t>
  </si>
  <si>
    <t>Risanamento secondo CECE A/B/C o SNBS</t>
  </si>
  <si>
    <t>Pas de rénovation (aucune raison)</t>
  </si>
  <si>
    <t>Nessun risanamento (nessuno motivo)</t>
  </si>
  <si>
    <t>Commentaire Eingabe!D11
Ogni edificio dell quartiere deve essere registrato nella piattaforma-label, vedi anche la guida dell'applicazione. L'ID dell'edificio è una sequenza di numeri che inizia con B. Ad esempio B11111.</t>
  </si>
  <si>
    <t>Commentaire entrée!D11
Chaque bâtiment du quartier doit être saisi dans la plateforme-label, voir aussi l'aide à l'application. L'ID du bâtiment est une suite de chiffres commençant par B. Par exemple B11111.</t>
  </si>
  <si>
    <t>Bâtiment existant</t>
  </si>
  <si>
    <t>Edificio esistente</t>
  </si>
  <si>
    <t>Nuova costruzione o edificio esistente</t>
  </si>
  <si>
    <t>Nouvelle construction ou bâtiment existant</t>
  </si>
  <si>
    <t>Percentuale di edifici Minergie nel quartiere</t>
  </si>
  <si>
    <t>Part des bâtiments Minergie dans le quartier</t>
  </si>
  <si>
    <t>Projet de construction</t>
  </si>
  <si>
    <t>Progetto di costruzione</t>
  </si>
  <si>
    <t>Weitere</t>
  </si>
  <si>
    <t>Autres</t>
  </si>
  <si>
    <t>Altri</t>
  </si>
  <si>
    <t>Gebäudekategorie Bestandesbauten (Hauptnutzung)</t>
  </si>
  <si>
    <t>Edifici esistenti: categoria dell'edificio (uso principale)</t>
  </si>
  <si>
    <t>Bâtiments existants : catégorie de bâtiment (affectation principale)</t>
  </si>
  <si>
    <t>Tipo di risanamento dell'involucro edilizio</t>
  </si>
  <si>
    <t>Änderungsjournal</t>
  </si>
  <si>
    <t>Änderungen</t>
  </si>
  <si>
    <t>Tabellenblatt</t>
  </si>
  <si>
    <t>Zelle</t>
  </si>
  <si>
    <t>Listen</t>
  </si>
  <si>
    <t>B82</t>
  </si>
  <si>
    <t>PV-Ertrag von 0.185 auf 0.2 kW/m2 angepasst (entsprechend Reglement Gebäudestandard Minergie, Version 2025.1)</t>
  </si>
  <si>
    <t>E2:E13</t>
  </si>
  <si>
    <t>Berechnung des Abschlages Rückbau korrigiert (bisher Kopie der Werte gemäss Reglement Gebäudestandard Minergie, Version 2023.1.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</si>
</sst>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0.0"/>
    <numFmt numFmtId="165" formatCode="0.0"/>
    <numFmt numFmtId="166" formatCode="#,##0.0_ ;\-#,##0.0\ "/>
    <numFmt numFmtId="167" formatCode="_ * #,##0_ ;_ * \-#,##0_ ;_ * &quot;-&quot;??_ ;_ @_ "/>
    <numFmt numFmtId="168" formatCode="#,##0_ ;\-#,##0\ "/>
    <numFmt numFmtId="169" formatCode="#,##0.00_ ;\-#,##0.00\ "/>
    <numFmt numFmtId="170" formatCode="#,##0.000"/>
  </numFmts>
  <fonts count="27" x14ac:knownFonts="1">
    <font>
      <sz val="11"/>
      <color theme="1"/>
      <name val="Calibri"/>
      <family val="2"/>
      <scheme val="minor"/>
    </font>
    <font>
      <sz val="8"/>
      <name val="Calibri"/>
      <family val="2"/>
      <scheme val="minor"/>
    </font>
    <font>
      <b/>
      <sz val="9"/>
      <color theme="1"/>
      <name val="Arial"/>
      <family val="2"/>
    </font>
    <font>
      <sz val="9"/>
      <color theme="1"/>
      <name val="Arial"/>
      <family val="2"/>
    </font>
    <font>
      <vertAlign val="subscript"/>
      <sz val="9"/>
      <color theme="1"/>
      <name val="Arial"/>
      <family val="2"/>
    </font>
    <font>
      <vertAlign val="superscript"/>
      <sz val="9"/>
      <color theme="1"/>
      <name val="Arial"/>
      <family val="2"/>
    </font>
    <font>
      <b/>
      <sz val="11"/>
      <color theme="1"/>
      <name val="Arial"/>
      <family val="2"/>
    </font>
    <font>
      <sz val="8"/>
      <name val="Arial"/>
      <family val="2"/>
    </font>
    <font>
      <sz val="9"/>
      <name val="Arial"/>
      <family val="2"/>
    </font>
    <font>
      <sz val="9"/>
      <color theme="0"/>
      <name val="Arial"/>
      <family val="2"/>
    </font>
    <font>
      <b/>
      <sz val="9"/>
      <name val="Arial"/>
      <family val="2"/>
    </font>
    <font>
      <sz val="11"/>
      <color theme="1"/>
      <name val="Arial"/>
      <family val="2"/>
    </font>
    <font>
      <b/>
      <sz val="9"/>
      <color rgb="FFC00000"/>
      <name val="Arial"/>
      <family val="2"/>
    </font>
    <font>
      <sz val="8"/>
      <color theme="1"/>
      <name val="Arial"/>
      <family val="2"/>
    </font>
    <font>
      <sz val="11"/>
      <color theme="1"/>
      <name val="Calibri"/>
      <family val="2"/>
      <scheme val="minor"/>
    </font>
    <font>
      <sz val="9"/>
      <color theme="1"/>
      <name val="Calibri"/>
      <family val="2"/>
    </font>
    <font>
      <i/>
      <sz val="9"/>
      <color theme="1"/>
      <name val="Arial"/>
      <family val="2"/>
    </font>
    <font>
      <sz val="9"/>
      <color indexed="81"/>
      <name val="Segoe UI"/>
      <family val="2"/>
    </font>
    <font>
      <b/>
      <sz val="10"/>
      <color theme="1"/>
      <name val="Arial"/>
      <family val="2"/>
    </font>
    <font>
      <sz val="10"/>
      <color theme="1"/>
      <name val="Arial"/>
      <family val="2"/>
    </font>
    <font>
      <sz val="9"/>
      <color rgb="FFFF0000"/>
      <name val="Arial"/>
      <family val="2"/>
    </font>
    <font>
      <vertAlign val="subscript"/>
      <sz val="9"/>
      <name val="Arial"/>
      <family val="2"/>
    </font>
    <font>
      <vertAlign val="superscript"/>
      <sz val="9"/>
      <name val="Arial"/>
      <family val="2"/>
    </font>
    <font>
      <b/>
      <sz val="11"/>
      <name val="Arial"/>
      <family val="2"/>
    </font>
    <font>
      <b/>
      <vertAlign val="superscript"/>
      <sz val="9"/>
      <color theme="1"/>
      <name val="Arial"/>
      <family val="2"/>
    </font>
    <font>
      <b/>
      <sz val="9"/>
      <color indexed="81"/>
      <name val="Segoe UI"/>
      <family val="2"/>
    </font>
    <font>
      <b/>
      <sz val="11"/>
      <color theme="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rgb="FFEEFFDD"/>
        <bgColor indexed="64"/>
      </patternFill>
    </fill>
    <fill>
      <patternFill patternType="solid">
        <fgColor theme="5" tint="0.79998168889431442"/>
        <bgColor indexed="64"/>
      </patternFill>
    </fill>
    <fill>
      <patternFill patternType="solid">
        <fgColor theme="0"/>
        <bgColor indexed="64"/>
      </patternFill>
    </fill>
    <fill>
      <patternFill patternType="solid">
        <fgColor rgb="FFCCFF66"/>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theme="2"/>
        <bgColor indexed="64"/>
      </patternFill>
    </fill>
    <fill>
      <patternFill patternType="solid">
        <fgColor rgb="FFFF3399"/>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hair">
        <color auto="1"/>
      </right>
      <top style="thin">
        <color auto="1"/>
      </top>
      <bottom style="thin">
        <color indexed="64"/>
      </bottom>
      <diagonal/>
    </border>
    <border>
      <left/>
      <right style="hair">
        <color auto="1"/>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thin">
        <color auto="1"/>
      </right>
      <top style="hair">
        <color auto="1"/>
      </top>
      <bottom/>
      <diagonal/>
    </border>
    <border>
      <left style="hair">
        <color auto="1"/>
      </left>
      <right/>
      <top style="hair">
        <color auto="1"/>
      </top>
      <bottom style="hair">
        <color auto="1"/>
      </bottom>
      <diagonal/>
    </border>
    <border>
      <left style="hair">
        <color auto="1"/>
      </left>
      <right style="hair">
        <color auto="1"/>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hair">
        <color auto="1"/>
      </right>
      <top style="thin">
        <color auto="1"/>
      </top>
      <bottom style="thin">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thin">
        <color auto="1"/>
      </right>
      <top style="hair">
        <color auto="1"/>
      </top>
      <bottom style="hair">
        <color auto="1"/>
      </bottom>
      <diagonal/>
    </border>
    <border>
      <left/>
      <right style="hair">
        <color auto="1"/>
      </right>
      <top style="thin">
        <color auto="1"/>
      </top>
      <bottom/>
      <diagonal/>
    </border>
    <border>
      <left/>
      <right/>
      <top style="hair">
        <color auto="1"/>
      </top>
      <bottom style="thin">
        <color auto="1"/>
      </bottom>
      <diagonal/>
    </border>
    <border>
      <left style="hair">
        <color auto="1"/>
      </left>
      <right/>
      <top style="hair">
        <color auto="1"/>
      </top>
      <bottom style="thin">
        <color auto="1"/>
      </bottom>
      <diagonal/>
    </border>
    <border>
      <left/>
      <right style="thin">
        <color auto="1"/>
      </right>
      <top style="thin">
        <color auto="1"/>
      </top>
      <bottom style="hair">
        <color auto="1"/>
      </bottom>
      <diagonal/>
    </border>
    <border>
      <left style="hair">
        <color auto="1"/>
      </left>
      <right/>
      <top style="thin">
        <color auto="1"/>
      </top>
      <bottom style="hair">
        <color auto="1"/>
      </bottom>
      <diagonal/>
    </border>
    <border>
      <left style="thin">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auto="1"/>
      </right>
      <top style="hair">
        <color auto="1"/>
      </top>
      <bottom/>
      <diagonal/>
    </border>
    <border>
      <left style="hair">
        <color auto="1"/>
      </left>
      <right style="hair">
        <color auto="1"/>
      </right>
      <top style="hair">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thin">
        <color auto="1"/>
      </top>
      <bottom style="hair">
        <color auto="1"/>
      </bottom>
      <diagonal/>
    </border>
    <border>
      <left style="hair">
        <color auto="1"/>
      </left>
      <right style="thick">
        <color auto="1"/>
      </right>
      <top style="thin">
        <color auto="1"/>
      </top>
      <bottom style="hair">
        <color auto="1"/>
      </bottom>
      <diagonal/>
    </border>
    <border>
      <left style="thick">
        <color auto="1"/>
      </left>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top style="hair">
        <color auto="1"/>
      </top>
      <bottom style="thin">
        <color auto="1"/>
      </bottom>
      <diagonal/>
    </border>
    <border>
      <left style="hair">
        <color auto="1"/>
      </left>
      <right style="thick">
        <color auto="1"/>
      </right>
      <top style="hair">
        <color auto="1"/>
      </top>
      <bottom style="thin">
        <color auto="1"/>
      </bottom>
      <diagonal/>
    </border>
    <border>
      <left style="thick">
        <color auto="1"/>
      </left>
      <right/>
      <top style="hair">
        <color auto="1"/>
      </top>
      <bottom style="thick">
        <color auto="1"/>
      </bottom>
      <diagonal/>
    </border>
    <border>
      <left style="thin">
        <color indexed="64"/>
      </left>
      <right style="thin">
        <color indexed="64"/>
      </right>
      <top/>
      <bottom/>
      <diagonal/>
    </border>
    <border>
      <left/>
      <right style="thin">
        <color auto="1"/>
      </right>
      <top style="hair">
        <color auto="1"/>
      </top>
      <bottom style="thin">
        <color auto="1"/>
      </bottom>
      <diagonal/>
    </border>
    <border>
      <left/>
      <right/>
      <top style="hair">
        <color auto="1"/>
      </top>
      <bottom style="thick">
        <color auto="1"/>
      </bottom>
      <diagonal/>
    </border>
    <border>
      <left/>
      <right style="thick">
        <color auto="1"/>
      </right>
      <top style="hair">
        <color auto="1"/>
      </top>
      <bottom style="thick">
        <color auto="1"/>
      </bottom>
      <diagonal/>
    </border>
    <border>
      <left style="thick">
        <color auto="1"/>
      </left>
      <right/>
      <top style="hair">
        <color auto="1"/>
      </top>
      <bottom/>
      <diagonal/>
    </border>
    <border>
      <left style="hair">
        <color auto="1"/>
      </left>
      <right style="thick">
        <color auto="1"/>
      </right>
      <top style="hair">
        <color auto="1"/>
      </top>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hair">
        <color auto="1"/>
      </left>
      <right style="thin">
        <color auto="1"/>
      </right>
      <top/>
      <bottom style="hair">
        <color auto="1"/>
      </bottom>
      <diagonal/>
    </border>
    <border>
      <left style="thin">
        <color auto="1"/>
      </left>
      <right style="hair">
        <color auto="1"/>
      </right>
      <top style="hair">
        <color auto="1"/>
      </top>
      <bottom/>
      <diagonal/>
    </border>
    <border>
      <left style="thin">
        <color indexed="64"/>
      </left>
      <right style="thin">
        <color indexed="64"/>
      </right>
      <top/>
      <bottom style="thin">
        <color indexed="64"/>
      </bottom>
      <diagonal/>
    </border>
    <border>
      <left style="thin">
        <color auto="1"/>
      </left>
      <right style="hair">
        <color auto="1"/>
      </right>
      <top/>
      <bottom style="hair">
        <color auto="1"/>
      </bottom>
      <diagonal/>
    </border>
  </borders>
  <cellStyleXfs count="3">
    <xf numFmtId="0" fontId="0" fillId="0" borderId="0"/>
    <xf numFmtId="43" fontId="14" fillId="0" borderId="0" applyFont="0" applyFill="0" applyBorder="0" applyAlignment="0" applyProtection="0"/>
    <xf numFmtId="9" fontId="14" fillId="0" borderId="0" applyFont="0" applyFill="0" applyBorder="0" applyAlignment="0" applyProtection="0"/>
  </cellStyleXfs>
  <cellXfs count="447">
    <xf numFmtId="0" fontId="0" fillId="0" borderId="0" xfId="0"/>
    <xf numFmtId="0" fontId="3" fillId="0" borderId="0" xfId="0" applyFont="1"/>
    <xf numFmtId="0" fontId="6" fillId="0" borderId="0" xfId="0" applyFont="1" applyAlignment="1">
      <alignment vertical="center"/>
    </xf>
    <xf numFmtId="0" fontId="3" fillId="0" borderId="0" xfId="0" applyFont="1" applyAlignment="1">
      <alignment horizontal="center"/>
    </xf>
    <xf numFmtId="0" fontId="3"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pplyAlignment="1">
      <alignment horizontal="center" vertical="center"/>
    </xf>
    <xf numFmtId="0" fontId="3" fillId="0" borderId="1" xfId="0" applyFont="1" applyBorder="1" applyAlignment="1">
      <alignment horizontal="left"/>
    </xf>
    <xf numFmtId="0" fontId="6" fillId="0" borderId="2" xfId="0" applyFont="1" applyBorder="1" applyAlignment="1">
      <alignment horizontal="left"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left" vertical="center"/>
    </xf>
    <xf numFmtId="167" fontId="8" fillId="0" borderId="0" xfId="1" applyNumberFormat="1" applyFont="1" applyAlignment="1">
      <alignment wrapText="1"/>
    </xf>
    <xf numFmtId="0" fontId="8" fillId="0" borderId="0" xfId="0" applyFont="1" applyAlignment="1">
      <alignment wrapText="1"/>
    </xf>
    <xf numFmtId="0" fontId="8" fillId="0" borderId="0" xfId="0" applyFont="1" applyAlignment="1">
      <alignment horizontal="left" wrapText="1"/>
    </xf>
    <xf numFmtId="0" fontId="10" fillId="6" borderId="21" xfId="0" applyFont="1" applyFill="1" applyBorder="1" applyAlignment="1">
      <alignment horizontal="center" wrapText="1"/>
    </xf>
    <xf numFmtId="0" fontId="10" fillId="3" borderId="21" xfId="0" applyFont="1" applyFill="1" applyBorder="1" applyAlignment="1">
      <alignment horizontal="center" wrapText="1"/>
    </xf>
    <xf numFmtId="0" fontId="10" fillId="6" borderId="8" xfId="0" applyFont="1" applyFill="1" applyBorder="1" applyAlignment="1">
      <alignment wrapText="1"/>
    </xf>
    <xf numFmtId="0" fontId="10" fillId="8" borderId="8" xfId="0" applyFont="1" applyFill="1" applyBorder="1" applyAlignment="1">
      <alignment wrapText="1"/>
    </xf>
    <xf numFmtId="0" fontId="10" fillId="9" borderId="8" xfId="0" applyFont="1" applyFill="1" applyBorder="1" applyAlignment="1">
      <alignment wrapText="1"/>
    </xf>
    <xf numFmtId="0" fontId="10" fillId="10" borderId="8" xfId="0" applyFont="1" applyFill="1" applyBorder="1" applyAlignment="1">
      <alignment wrapText="1"/>
    </xf>
    <xf numFmtId="0" fontId="3" fillId="0" borderId="0" xfId="0" applyFont="1" applyAlignment="1">
      <alignment wrapText="1"/>
    </xf>
    <xf numFmtId="0" fontId="10" fillId="3" borderId="18" xfId="0" applyFont="1" applyFill="1" applyBorder="1" applyAlignment="1">
      <alignment horizontal="left" wrapText="1"/>
    </xf>
    <xf numFmtId="0" fontId="10" fillId="0" borderId="32" xfId="0" applyFont="1" applyBorder="1" applyAlignment="1">
      <alignment horizontal="center" wrapText="1"/>
    </xf>
    <xf numFmtId="0" fontId="10" fillId="6" borderId="32" xfId="0" applyFont="1" applyFill="1" applyBorder="1" applyAlignment="1">
      <alignment horizontal="center" wrapText="1"/>
    </xf>
    <xf numFmtId="0" fontId="10" fillId="6" borderId="34" xfId="0" applyFont="1" applyFill="1" applyBorder="1" applyAlignment="1">
      <alignment horizontal="center" wrapText="1"/>
    </xf>
    <xf numFmtId="0" fontId="8" fillId="2" borderId="35" xfId="0" applyFont="1" applyFill="1" applyBorder="1" applyAlignment="1">
      <alignment horizontal="center" wrapText="1"/>
    </xf>
    <xf numFmtId="0" fontId="10" fillId="2" borderId="33" xfId="0" applyFont="1" applyFill="1" applyBorder="1" applyAlignment="1">
      <alignment horizontal="center" wrapText="1"/>
    </xf>
    <xf numFmtId="0" fontId="3" fillId="0" borderId="19" xfId="0" applyFont="1" applyBorder="1" applyAlignment="1">
      <alignment horizontal="left" vertical="center"/>
    </xf>
    <xf numFmtId="0" fontId="10" fillId="7" borderId="0" xfId="0" applyFont="1" applyFill="1" applyAlignment="1" applyProtection="1">
      <alignment horizontal="center" wrapText="1"/>
      <protection locked="0"/>
    </xf>
    <xf numFmtId="0" fontId="10" fillId="3" borderId="21" xfId="0" applyFont="1" applyFill="1" applyBorder="1" applyAlignment="1">
      <alignment horizontal="left" wrapText="1"/>
    </xf>
    <xf numFmtId="0" fontId="10" fillId="3" borderId="8" xfId="0" applyFont="1" applyFill="1" applyBorder="1" applyAlignment="1">
      <alignment horizontal="left" wrapText="1"/>
    </xf>
    <xf numFmtId="0" fontId="3" fillId="0" borderId="0" xfId="0" applyFont="1" applyAlignment="1">
      <alignment horizontal="left" wrapText="1"/>
    </xf>
    <xf numFmtId="0" fontId="3" fillId="0" borderId="25" xfId="0" applyFont="1" applyBorder="1" applyAlignment="1">
      <alignment horizontal="center"/>
    </xf>
    <xf numFmtId="0" fontId="2" fillId="0" borderId="37" xfId="0" applyFont="1" applyBorder="1" applyAlignment="1">
      <alignment horizontal="left"/>
    </xf>
    <xf numFmtId="0" fontId="6" fillId="0" borderId="25" xfId="0" applyFont="1" applyBorder="1" applyAlignment="1">
      <alignment horizontal="left" vertical="center"/>
    </xf>
    <xf numFmtId="0" fontId="6" fillId="0" borderId="25" xfId="0" applyFont="1" applyBorder="1" applyAlignment="1">
      <alignment horizontal="center" vertical="center"/>
    </xf>
    <xf numFmtId="0" fontId="11" fillId="0" borderId="26" xfId="0" applyFont="1" applyBorder="1" applyAlignment="1">
      <alignment horizontal="center" vertical="center"/>
    </xf>
    <xf numFmtId="0" fontId="8" fillId="2" borderId="5" xfId="0" applyFont="1" applyFill="1" applyBorder="1" applyAlignment="1" applyProtection="1">
      <alignment horizontal="center" vertical="center"/>
      <protection locked="0"/>
    </xf>
    <xf numFmtId="3" fontId="8" fillId="0" borderId="8" xfId="0" applyNumberFormat="1" applyFont="1" applyBorder="1" applyAlignment="1" applyProtection="1">
      <alignment horizontal="center" vertical="center"/>
      <protection locked="0"/>
    </xf>
    <xf numFmtId="0" fontId="18" fillId="0" borderId="0" xfId="0" applyFont="1"/>
    <xf numFmtId="0" fontId="19" fillId="0" borderId="0" xfId="0" applyFont="1"/>
    <xf numFmtId="0" fontId="3" fillId="0" borderId="16" xfId="0" applyFont="1" applyBorder="1" applyAlignment="1">
      <alignment horizontal="left" vertical="center"/>
    </xf>
    <xf numFmtId="0" fontId="7" fillId="5" borderId="0" xfId="0" applyFont="1" applyFill="1" applyAlignment="1">
      <alignment horizontal="center" vertical="center"/>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0" borderId="28" xfId="0" applyFont="1" applyBorder="1" applyAlignment="1">
      <alignment horizontal="left"/>
    </xf>
    <xf numFmtId="0" fontId="3" fillId="0" borderId="28" xfId="0" applyFont="1" applyBorder="1" applyAlignment="1">
      <alignment horizontal="center" vertical="center"/>
    </xf>
    <xf numFmtId="0" fontId="3" fillId="0" borderId="13" xfId="0" applyFont="1" applyBorder="1" applyAlignment="1">
      <alignment horizontal="left" vertical="center" wrapText="1"/>
    </xf>
    <xf numFmtId="0" fontId="3" fillId="0" borderId="15" xfId="0" applyFont="1" applyBorder="1" applyAlignment="1">
      <alignment horizontal="center" vertical="center"/>
    </xf>
    <xf numFmtId="0" fontId="3" fillId="0" borderId="19" xfId="0" applyFont="1" applyBorder="1" applyAlignment="1">
      <alignment horizontal="left" vertical="center" wrapText="1"/>
    </xf>
    <xf numFmtId="0" fontId="3" fillId="0" borderId="20" xfId="0" applyFont="1" applyBorder="1" applyAlignment="1">
      <alignment horizontal="center" vertical="center"/>
    </xf>
    <xf numFmtId="0" fontId="3" fillId="0" borderId="25" xfId="0" applyFont="1" applyBorder="1" applyAlignment="1">
      <alignment horizontal="center" vertical="center"/>
    </xf>
    <xf numFmtId="0" fontId="8" fillId="0" borderId="28" xfId="0" applyFont="1" applyBorder="1" applyAlignment="1">
      <alignment horizontal="left" vertical="center"/>
    </xf>
    <xf numFmtId="0" fontId="3" fillId="0" borderId="18" xfId="0" applyFont="1" applyBorder="1" applyAlignment="1">
      <alignment horizontal="center" vertical="center"/>
    </xf>
    <xf numFmtId="166" fontId="8" fillId="0" borderId="5" xfId="0" applyNumberFormat="1" applyFont="1" applyBorder="1" applyAlignment="1">
      <alignment horizontal="center" vertical="center"/>
    </xf>
    <xf numFmtId="164" fontId="8" fillId="0" borderId="5" xfId="0" applyNumberFormat="1" applyFont="1" applyBorder="1" applyAlignment="1">
      <alignment horizontal="center" vertical="center"/>
    </xf>
    <xf numFmtId="164" fontId="8" fillId="0" borderId="11" xfId="0" applyNumberFormat="1" applyFont="1" applyBorder="1" applyAlignment="1">
      <alignment horizontal="center" vertical="center"/>
    </xf>
    <xf numFmtId="3" fontId="3" fillId="0" borderId="28" xfId="0" applyNumberFormat="1" applyFont="1" applyBorder="1" applyAlignment="1">
      <alignment horizontal="center" vertical="center"/>
    </xf>
    <xf numFmtId="164" fontId="3" fillId="0" borderId="8" xfId="0" applyNumberFormat="1" applyFont="1" applyBorder="1" applyAlignment="1">
      <alignment horizontal="center" vertical="center"/>
    </xf>
    <xf numFmtId="164" fontId="3" fillId="0" borderId="11"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8" xfId="0" applyNumberFormat="1" applyFont="1" applyBorder="1" applyAlignment="1">
      <alignment horizontal="center" vertical="center"/>
    </xf>
    <xf numFmtId="3" fontId="3" fillId="0" borderId="11" xfId="0" applyNumberFormat="1" applyFont="1" applyBorder="1" applyAlignment="1">
      <alignment horizontal="center" vertical="center"/>
    </xf>
    <xf numFmtId="164" fontId="8" fillId="0" borderId="8" xfId="0" applyNumberFormat="1" applyFont="1" applyBorder="1" applyAlignment="1">
      <alignment horizontal="center" vertical="center"/>
    </xf>
    <xf numFmtId="164" fontId="10" fillId="0" borderId="11" xfId="0" applyNumberFormat="1" applyFont="1" applyBorder="1" applyAlignment="1">
      <alignment horizontal="center" vertical="center"/>
    </xf>
    <xf numFmtId="166" fontId="8" fillId="0" borderId="0" xfId="0" applyNumberFormat="1" applyFont="1" applyAlignment="1">
      <alignment horizontal="center" vertical="center"/>
    </xf>
    <xf numFmtId="0" fontId="3" fillId="0" borderId="53" xfId="0" applyFont="1" applyBorder="1" applyAlignment="1">
      <alignment horizontal="center" vertical="center"/>
    </xf>
    <xf numFmtId="166" fontId="8" fillId="0" borderId="56" xfId="0" applyNumberFormat="1" applyFont="1" applyBorder="1" applyAlignment="1">
      <alignment horizontal="center" vertical="center"/>
    </xf>
    <xf numFmtId="164" fontId="8" fillId="0" borderId="0" xfId="0" applyNumberFormat="1"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wrapText="1"/>
    </xf>
    <xf numFmtId="0" fontId="8" fillId="0" borderId="0" xfId="0" applyFont="1" applyAlignment="1">
      <alignment horizontal="center" vertical="center"/>
    </xf>
    <xf numFmtId="164" fontId="8" fillId="0" borderId="0" xfId="0" applyNumberFormat="1" applyFont="1" applyAlignment="1">
      <alignment horizontal="right" vertical="center"/>
    </xf>
    <xf numFmtId="0" fontId="8" fillId="0" borderId="0" xfId="0" applyFont="1" applyAlignment="1">
      <alignment horizontal="left" vertical="center"/>
    </xf>
    <xf numFmtId="0" fontId="10" fillId="11" borderId="0" xfId="0" applyFont="1" applyFill="1" applyAlignment="1">
      <alignment horizontal="left" vertical="center" wrapText="1"/>
    </xf>
    <xf numFmtId="0" fontId="8" fillId="11" borderId="0" xfId="0" applyFont="1" applyFill="1" applyAlignment="1">
      <alignment horizontal="center" vertical="center"/>
    </xf>
    <xf numFmtId="166" fontId="8" fillId="11" borderId="0" xfId="0" applyNumberFormat="1" applyFont="1" applyFill="1" applyAlignment="1">
      <alignment horizontal="center" vertical="center"/>
    </xf>
    <xf numFmtId="0" fontId="8" fillId="0" borderId="13" xfId="0" applyFont="1" applyBorder="1" applyAlignment="1">
      <alignment horizontal="left" vertical="center" wrapText="1"/>
    </xf>
    <xf numFmtId="0" fontId="8" fillId="0" borderId="15" xfId="0" applyFont="1" applyBorder="1" applyAlignment="1">
      <alignment horizontal="center" vertical="center"/>
    </xf>
    <xf numFmtId="0" fontId="8" fillId="0" borderId="16" xfId="0" applyFont="1" applyBorder="1" applyAlignment="1">
      <alignment horizontal="left" vertical="center" wrapText="1"/>
    </xf>
    <xf numFmtId="0" fontId="8" fillId="0" borderId="18" xfId="0" applyFont="1" applyBorder="1" applyAlignment="1">
      <alignment horizontal="center" vertical="center"/>
    </xf>
    <xf numFmtId="166" fontId="8" fillId="0" borderId="8" xfId="0" applyNumberFormat="1" applyFont="1" applyBorder="1" applyAlignment="1">
      <alignment horizontal="center" vertical="center"/>
    </xf>
    <xf numFmtId="0" fontId="10" fillId="0" borderId="20" xfId="0" applyFont="1" applyBorder="1" applyAlignment="1">
      <alignment horizontal="center" vertical="center"/>
    </xf>
    <xf numFmtId="166" fontId="10" fillId="0" borderId="11" xfId="0" applyNumberFormat="1" applyFont="1" applyBorder="1" applyAlignment="1">
      <alignment horizontal="center" vertical="center"/>
    </xf>
    <xf numFmtId="3" fontId="8" fillId="0" borderId="39" xfId="0" applyNumberFormat="1" applyFont="1" applyBorder="1" applyAlignment="1">
      <alignment horizontal="right" vertical="center"/>
    </xf>
    <xf numFmtId="0" fontId="8" fillId="0" borderId="36" xfId="0" applyFont="1" applyBorder="1" applyAlignment="1">
      <alignment horizontal="left" vertical="center"/>
    </xf>
    <xf numFmtId="3" fontId="8" fillId="0" borderId="0" xfId="0" applyNumberFormat="1" applyFont="1" applyAlignment="1">
      <alignment horizontal="right" vertical="center"/>
    </xf>
    <xf numFmtId="0" fontId="8" fillId="0" borderId="19" xfId="0" applyFont="1" applyBorder="1" applyAlignment="1">
      <alignment horizontal="left" vertical="center" wrapText="1"/>
    </xf>
    <xf numFmtId="0" fontId="8" fillId="0" borderId="20" xfId="0" applyFont="1" applyBorder="1" applyAlignment="1">
      <alignment horizontal="center" vertical="center"/>
    </xf>
    <xf numFmtId="166" fontId="10" fillId="0" borderId="0" xfId="0" applyNumberFormat="1" applyFont="1" applyAlignment="1">
      <alignment horizontal="center" vertical="center"/>
    </xf>
    <xf numFmtId="0" fontId="10" fillId="0" borderId="55" xfId="0" applyFont="1" applyBorder="1" applyAlignment="1">
      <alignment horizontal="left" wrapText="1"/>
    </xf>
    <xf numFmtId="0" fontId="8" fillId="0" borderId="56" xfId="0" applyFont="1" applyBorder="1" applyAlignment="1">
      <alignment horizontal="center" vertical="center"/>
    </xf>
    <xf numFmtId="166" fontId="8" fillId="0" borderId="57" xfId="0" applyNumberFormat="1" applyFont="1" applyBorder="1" applyAlignment="1">
      <alignment horizontal="center" vertical="center"/>
    </xf>
    <xf numFmtId="0" fontId="10" fillId="0" borderId="58" xfId="0" applyFont="1" applyBorder="1" applyAlignment="1">
      <alignment horizontal="left" wrapText="1"/>
    </xf>
    <xf numFmtId="166" fontId="8" fillId="0" borderId="59" xfId="0" applyNumberFormat="1" applyFont="1" applyBorder="1" applyAlignment="1">
      <alignment horizontal="center" vertical="center"/>
    </xf>
    <xf numFmtId="0" fontId="8" fillId="0" borderId="60" xfId="0" applyFont="1" applyBorder="1" applyAlignment="1">
      <alignment horizontal="left" vertical="center" wrapText="1"/>
    </xf>
    <xf numFmtId="166" fontId="8" fillId="0" borderId="61" xfId="0" applyNumberFormat="1" applyFont="1" applyBorder="1" applyAlignment="1">
      <alignment horizontal="center" vertical="center"/>
    </xf>
    <xf numFmtId="0" fontId="8" fillId="0" borderId="62" xfId="0" applyFont="1" applyBorder="1" applyAlignment="1">
      <alignment horizontal="left" vertical="center" wrapText="1"/>
    </xf>
    <xf numFmtId="166" fontId="8" fillId="0" borderId="63" xfId="0" applyNumberFormat="1" applyFont="1" applyBorder="1" applyAlignment="1">
      <alignment horizontal="center" vertical="center"/>
    </xf>
    <xf numFmtId="0" fontId="10" fillId="0" borderId="64" xfId="0" applyFont="1" applyBorder="1" applyAlignment="1">
      <alignment horizontal="left" vertical="center" wrapText="1"/>
    </xf>
    <xf numFmtId="166" fontId="10" fillId="0" borderId="65" xfId="0" applyNumberFormat="1" applyFont="1" applyBorder="1" applyAlignment="1">
      <alignment horizontal="center" vertical="center"/>
    </xf>
    <xf numFmtId="164" fontId="8" fillId="0" borderId="59" xfId="0" applyNumberFormat="1" applyFont="1" applyBorder="1" applyAlignment="1">
      <alignment horizontal="center" vertical="center"/>
    </xf>
    <xf numFmtId="164" fontId="8" fillId="0" borderId="4" xfId="0" applyNumberFormat="1" applyFont="1" applyBorder="1" applyAlignment="1">
      <alignment horizontal="right" vertical="center"/>
    </xf>
    <xf numFmtId="0" fontId="8" fillId="0" borderId="6" xfId="0" applyFont="1" applyBorder="1" applyAlignment="1">
      <alignment horizontal="left" vertical="center"/>
    </xf>
    <xf numFmtId="0" fontId="8" fillId="0" borderId="66" xfId="0" applyFont="1" applyBorder="1" applyAlignment="1">
      <alignment horizontal="left" vertical="center" wrapText="1"/>
    </xf>
    <xf numFmtId="0" fontId="10" fillId="0" borderId="28" xfId="0" applyFont="1" applyBorder="1" applyAlignment="1">
      <alignment horizontal="left"/>
    </xf>
    <xf numFmtId="0" fontId="8" fillId="0" borderId="28" xfId="0" applyFont="1" applyBorder="1" applyAlignment="1">
      <alignment horizontal="center" vertical="center"/>
    </xf>
    <xf numFmtId="3" fontId="8" fillId="0" borderId="28" xfId="0" applyNumberFormat="1" applyFont="1" applyBorder="1" applyAlignment="1">
      <alignment horizontal="center" vertical="center"/>
    </xf>
    <xf numFmtId="3" fontId="8" fillId="0" borderId="0" xfId="0" applyNumberFormat="1" applyFont="1" applyAlignment="1">
      <alignment horizontal="center" vertical="center"/>
    </xf>
    <xf numFmtId="0" fontId="7" fillId="0" borderId="0" xfId="0" applyFont="1" applyAlignment="1">
      <alignment vertical="center"/>
    </xf>
    <xf numFmtId="164" fontId="8" fillId="0" borderId="7" xfId="0" applyNumberFormat="1" applyFont="1" applyBorder="1" applyAlignment="1">
      <alignment horizontal="right" vertical="center"/>
    </xf>
    <xf numFmtId="0" fontId="8" fillId="0" borderId="9" xfId="0" applyFont="1" applyBorder="1" applyAlignment="1">
      <alignment horizontal="left" vertical="center"/>
    </xf>
    <xf numFmtId="164" fontId="8" fillId="0" borderId="10" xfId="0" applyNumberFormat="1" applyFont="1" applyBorder="1" applyAlignment="1">
      <alignment horizontal="right" vertical="center"/>
    </xf>
    <xf numFmtId="0" fontId="8" fillId="0" borderId="12" xfId="0" applyFont="1" applyBorder="1" applyAlignment="1">
      <alignment horizontal="left" vertical="center"/>
    </xf>
    <xf numFmtId="0" fontId="8" fillId="0" borderId="0" xfId="0" applyFont="1" applyAlignment="1">
      <alignment horizontal="left"/>
    </xf>
    <xf numFmtId="0" fontId="8" fillId="0" borderId="0" xfId="0" applyFont="1"/>
    <xf numFmtId="0" fontId="8" fillId="0" borderId="0" xfId="0" applyFont="1" applyAlignment="1">
      <alignment horizontal="center"/>
    </xf>
    <xf numFmtId="0" fontId="8" fillId="0" borderId="25" xfId="0" applyFont="1" applyBorder="1" applyAlignment="1">
      <alignment horizontal="right" vertical="center"/>
    </xf>
    <xf numFmtId="0" fontId="8" fillId="0" borderId="25" xfId="0" applyFont="1" applyBorder="1" applyAlignment="1">
      <alignment horizontal="left" vertical="center"/>
    </xf>
    <xf numFmtId="3" fontId="8" fillId="0" borderId="28" xfId="0" applyNumberFormat="1" applyFont="1" applyBorder="1" applyAlignment="1">
      <alignment horizontal="right" vertical="center"/>
    </xf>
    <xf numFmtId="3" fontId="8" fillId="0" borderId="8" xfId="0" applyNumberFormat="1" applyFont="1" applyBorder="1" applyAlignment="1">
      <alignment horizontal="center" vertical="center"/>
    </xf>
    <xf numFmtId="0" fontId="8" fillId="0" borderId="0" xfId="0" applyFont="1" applyAlignment="1">
      <alignment horizontal="right" vertical="center"/>
    </xf>
    <xf numFmtId="164" fontId="8" fillId="0" borderId="63" xfId="0" applyNumberFormat="1" applyFont="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6" fillId="0" borderId="0" xfId="0" applyFont="1" applyAlignment="1">
      <alignment horizontal="left" vertical="center" wrapText="1"/>
    </xf>
    <xf numFmtId="0" fontId="6" fillId="0" borderId="0" xfId="0" applyFont="1" applyAlignment="1">
      <alignment horizontal="right" vertical="center"/>
    </xf>
    <xf numFmtId="0" fontId="10" fillId="3" borderId="0" xfId="0" applyFont="1" applyFill="1" applyAlignment="1">
      <alignment horizontal="center"/>
    </xf>
    <xf numFmtId="0" fontId="10" fillId="3" borderId="0" xfId="0" applyFont="1" applyFill="1"/>
    <xf numFmtId="0" fontId="10" fillId="0" borderId="0" xfId="0" applyFont="1"/>
    <xf numFmtId="0" fontId="8" fillId="3" borderId="0" xfId="0" applyFont="1" applyFill="1" applyAlignment="1">
      <alignment horizontal="center" vertical="center"/>
    </xf>
    <xf numFmtId="0" fontId="8" fillId="3" borderId="0" xfId="0" applyFont="1" applyFill="1"/>
    <xf numFmtId="0" fontId="10" fillId="3" borderId="0" xfId="0" applyFont="1" applyFill="1" applyAlignment="1">
      <alignment horizontal="right" vertical="center"/>
    </xf>
    <xf numFmtId="0" fontId="9" fillId="3" borderId="0" xfId="0" applyFont="1" applyFill="1" applyAlignment="1">
      <alignment horizontal="left" vertical="center"/>
    </xf>
    <xf numFmtId="0" fontId="9" fillId="3" borderId="0" xfId="0" applyFont="1" applyFill="1"/>
    <xf numFmtId="0" fontId="7" fillId="9" borderId="0" xfId="0" applyFont="1" applyFill="1" applyAlignment="1">
      <alignment horizontal="center" vertical="center"/>
    </xf>
    <xf numFmtId="0" fontId="10" fillId="0" borderId="0" xfId="0" applyFont="1" applyAlignment="1">
      <alignment horizontal="center"/>
    </xf>
    <xf numFmtId="0" fontId="10" fillId="0" borderId="0" xfId="0" applyFont="1" applyAlignment="1">
      <alignment horizontal="right" vertical="center"/>
    </xf>
    <xf numFmtId="0" fontId="3" fillId="0" borderId="0" xfId="0" applyFont="1" applyAlignment="1">
      <alignment horizontal="center" vertical="center" wrapText="1"/>
    </xf>
    <xf numFmtId="0" fontId="6" fillId="0" borderId="39" xfId="0" applyFont="1" applyBorder="1" applyAlignment="1">
      <alignment horizontal="center" vertical="center"/>
    </xf>
    <xf numFmtId="0" fontId="6" fillId="0" borderId="22" xfId="0" applyFont="1" applyBorder="1" applyAlignment="1">
      <alignment horizontal="center" vertical="center"/>
    </xf>
    <xf numFmtId="3" fontId="3" fillId="0" borderId="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0" xfId="0" applyNumberFormat="1" applyFont="1" applyAlignment="1">
      <alignment horizontal="right" vertical="center"/>
    </xf>
    <xf numFmtId="0" fontId="13" fillId="0" borderId="0" xfId="0" applyFont="1" applyAlignment="1">
      <alignmen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3" fontId="3" fillId="0" borderId="7" xfId="0" applyNumberFormat="1" applyFont="1" applyBorder="1" applyAlignment="1">
      <alignment horizontal="right" vertical="center"/>
    </xf>
    <xf numFmtId="0" fontId="3" fillId="0" borderId="12" xfId="0" applyFont="1" applyBorder="1" applyAlignment="1">
      <alignment horizontal="left" vertical="center"/>
    </xf>
    <xf numFmtId="0" fontId="3" fillId="0" borderId="50" xfId="0" applyFont="1" applyBorder="1" applyAlignment="1">
      <alignment horizontal="center" vertical="center"/>
    </xf>
    <xf numFmtId="0" fontId="3" fillId="0" borderId="41" xfId="0" applyFont="1" applyBorder="1" applyAlignment="1">
      <alignment horizontal="left" vertical="center"/>
    </xf>
    <xf numFmtId="0" fontId="3" fillId="0" borderId="14" xfId="0" applyFont="1" applyBorder="1" applyAlignment="1">
      <alignment horizontal="left" vertical="center"/>
    </xf>
    <xf numFmtId="0" fontId="2" fillId="0" borderId="2" xfId="0" applyFont="1" applyBorder="1" applyAlignment="1">
      <alignment horizontal="left"/>
    </xf>
    <xf numFmtId="164" fontId="3" fillId="0" borderId="4" xfId="0" applyNumberFormat="1" applyFont="1" applyBorder="1" applyAlignment="1">
      <alignment horizontal="right" vertical="center"/>
    </xf>
    <xf numFmtId="164" fontId="3" fillId="0" borderId="10" xfId="0" applyNumberFormat="1" applyFont="1" applyBorder="1" applyAlignment="1">
      <alignment horizontal="right" vertical="center"/>
    </xf>
    <xf numFmtId="0" fontId="13" fillId="0" borderId="38" xfId="0" applyFont="1" applyBorder="1" applyAlignment="1">
      <alignment vertical="center"/>
    </xf>
    <xf numFmtId="0" fontId="3" fillId="0" borderId="38" xfId="0" applyFont="1" applyBorder="1" applyAlignment="1">
      <alignment vertical="center"/>
    </xf>
    <xf numFmtId="164" fontId="3" fillId="0" borderId="7" xfId="0" applyNumberFormat="1" applyFont="1" applyBorder="1" applyAlignment="1">
      <alignment horizontal="right" vertical="center"/>
    </xf>
    <xf numFmtId="0" fontId="3" fillId="0" borderId="25" xfId="0" applyFont="1" applyBorder="1" applyAlignment="1">
      <alignment horizontal="left" vertical="center"/>
    </xf>
    <xf numFmtId="0" fontId="13" fillId="0" borderId="25" xfId="0" applyFont="1" applyBorder="1" applyAlignment="1">
      <alignment vertical="center"/>
    </xf>
    <xf numFmtId="164" fontId="3" fillId="0" borderId="12" xfId="0" applyNumberFormat="1" applyFont="1" applyBorder="1" applyAlignment="1">
      <alignment horizontal="center" vertical="center"/>
    </xf>
    <xf numFmtId="3" fontId="3" fillId="0" borderId="6"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2" xfId="0" applyNumberFormat="1" applyFont="1" applyBorder="1" applyAlignment="1">
      <alignment horizontal="center" vertical="center"/>
    </xf>
    <xf numFmtId="168" fontId="8" fillId="0" borderId="0" xfId="0" applyNumberFormat="1" applyFont="1" applyAlignment="1">
      <alignment horizontal="center" vertical="center"/>
    </xf>
    <xf numFmtId="168" fontId="8" fillId="0" borderId="59" xfId="0" applyNumberFormat="1" applyFont="1" applyBorder="1" applyAlignment="1">
      <alignment horizontal="center" vertical="center"/>
    </xf>
    <xf numFmtId="3" fontId="3" fillId="0" borderId="28" xfId="0" applyNumberFormat="1" applyFont="1" applyBorder="1" applyAlignment="1">
      <alignment horizontal="right" vertical="center"/>
    </xf>
    <xf numFmtId="0" fontId="3" fillId="0" borderId="28" xfId="0" applyFont="1" applyBorder="1" applyAlignment="1">
      <alignment horizontal="left" vertical="center"/>
    </xf>
    <xf numFmtId="164" fontId="3" fillId="0" borderId="25" xfId="0" applyNumberFormat="1" applyFont="1" applyBorder="1" applyAlignment="1">
      <alignment horizontal="right" vertical="center"/>
    </xf>
    <xf numFmtId="164" fontId="3" fillId="0" borderId="0" xfId="0" applyNumberFormat="1" applyFont="1" applyAlignment="1">
      <alignment horizontal="right" vertical="center"/>
    </xf>
    <xf numFmtId="0" fontId="9" fillId="0" borderId="0" xfId="0" applyFont="1" applyAlignment="1">
      <alignment horizontal="center"/>
    </xf>
    <xf numFmtId="0" fontId="23" fillId="0" borderId="22" xfId="0" applyFont="1" applyBorder="1" applyAlignment="1">
      <alignment horizontal="center" vertical="center"/>
    </xf>
    <xf numFmtId="0" fontId="23" fillId="0" borderId="36" xfId="0" applyFont="1" applyBorder="1" applyAlignment="1">
      <alignment horizontal="center" vertical="center"/>
    </xf>
    <xf numFmtId="0" fontId="2" fillId="0" borderId="24" xfId="0" applyFont="1" applyBorder="1" applyAlignment="1">
      <alignment horizontal="left" vertical="center"/>
    </xf>
    <xf numFmtId="0" fontId="3" fillId="0" borderId="37" xfId="0" applyFont="1" applyBorder="1" applyAlignment="1">
      <alignment horizontal="left" vertical="top" wrapText="1" indent="1"/>
    </xf>
    <xf numFmtId="0" fontId="3" fillId="0" borderId="0" xfId="0" applyFont="1" applyAlignment="1">
      <alignment horizontal="left" vertical="top" wrapText="1" indent="1"/>
    </xf>
    <xf numFmtId="0" fontId="3" fillId="0" borderId="38" xfId="0" applyFont="1" applyBorder="1" applyAlignment="1">
      <alignment horizontal="left" vertical="top" wrapText="1" indent="1"/>
    </xf>
    <xf numFmtId="0" fontId="3" fillId="0" borderId="27" xfId="0" applyFont="1" applyBorder="1" applyAlignment="1">
      <alignment horizontal="left" indent="1"/>
    </xf>
    <xf numFmtId="0" fontId="3" fillId="0" borderId="28" xfId="0" applyFont="1" applyBorder="1" applyAlignment="1">
      <alignment horizontal="left" indent="1"/>
    </xf>
    <xf numFmtId="0" fontId="3" fillId="0" borderId="29" xfId="0" applyFont="1" applyBorder="1" applyAlignment="1">
      <alignment horizontal="left" indent="1"/>
    </xf>
    <xf numFmtId="0" fontId="2" fillId="0" borderId="37" xfId="0" applyFont="1" applyBorder="1" applyAlignment="1">
      <alignment horizontal="left" indent="1"/>
    </xf>
    <xf numFmtId="0" fontId="3" fillId="0" borderId="0" xfId="0" applyFont="1" applyAlignment="1">
      <alignment horizontal="left" indent="1"/>
    </xf>
    <xf numFmtId="0" fontId="3" fillId="0" borderId="38" xfId="0" applyFont="1" applyBorder="1" applyAlignment="1">
      <alignment horizontal="left" indent="1"/>
    </xf>
    <xf numFmtId="0" fontId="2" fillId="0" borderId="37" xfId="0" applyFont="1" applyBorder="1" applyAlignment="1">
      <alignment horizontal="left" vertical="center" indent="1"/>
    </xf>
    <xf numFmtId="0" fontId="7" fillId="0" borderId="0" xfId="0" applyFont="1" applyAlignment="1">
      <alignment horizontal="left" vertical="center" indent="1"/>
    </xf>
    <xf numFmtId="0" fontId="2" fillId="0" borderId="0" xfId="0" applyFont="1"/>
    <xf numFmtId="0" fontId="2" fillId="0" borderId="22" xfId="0" applyFont="1" applyBorder="1" applyAlignment="1">
      <alignment horizontal="center"/>
    </xf>
    <xf numFmtId="0" fontId="2" fillId="0" borderId="3" xfId="0" applyFont="1" applyBorder="1" applyAlignment="1">
      <alignment horizontal="center"/>
    </xf>
    <xf numFmtId="0" fontId="2" fillId="0" borderId="13" xfId="0" applyFont="1" applyBorder="1"/>
    <xf numFmtId="0" fontId="2" fillId="0" borderId="14" xfId="0" applyFont="1" applyBorder="1" applyAlignment="1">
      <alignment horizontal="center"/>
    </xf>
    <xf numFmtId="0" fontId="2" fillId="0" borderId="47" xfId="0" applyFont="1" applyBorder="1" applyAlignment="1">
      <alignment horizontal="center"/>
    </xf>
    <xf numFmtId="0" fontId="3" fillId="0" borderId="16" xfId="0" applyFont="1" applyBorder="1" applyAlignment="1">
      <alignment horizontal="left" vertical="center" wrapText="1" indent="1"/>
    </xf>
    <xf numFmtId="0" fontId="3" fillId="0" borderId="17" xfId="0" applyFont="1" applyBorder="1" applyAlignment="1">
      <alignment horizontal="center" vertical="center"/>
    </xf>
    <xf numFmtId="9" fontId="3" fillId="0" borderId="18" xfId="2" applyFont="1" applyBorder="1" applyAlignment="1" applyProtection="1">
      <alignment horizontal="center" vertical="center"/>
    </xf>
    <xf numFmtId="9" fontId="3" fillId="0" borderId="8" xfId="2" applyFont="1" applyBorder="1" applyAlignment="1" applyProtection="1">
      <alignment horizontal="center" vertical="center"/>
    </xf>
    <xf numFmtId="165" fontId="10" fillId="0" borderId="43" xfId="0" applyNumberFormat="1" applyFont="1" applyBorder="1" applyAlignment="1">
      <alignment horizontal="center" vertical="center"/>
    </xf>
    <xf numFmtId="0" fontId="3" fillId="0" borderId="40" xfId="0" applyFont="1" applyBorder="1" applyAlignment="1">
      <alignment horizontal="left" vertical="center" wrapText="1" indent="1"/>
    </xf>
    <xf numFmtId="0" fontId="3" fillId="0" borderId="41" xfId="0" applyFont="1" applyBorder="1" applyAlignment="1">
      <alignment horizontal="center" vertical="center"/>
    </xf>
    <xf numFmtId="9" fontId="3" fillId="0" borderId="53" xfId="2" applyFont="1" applyBorder="1" applyAlignment="1" applyProtection="1">
      <alignment horizontal="center" vertical="center"/>
    </xf>
    <xf numFmtId="9" fontId="3" fillId="0" borderId="54" xfId="2" applyFont="1" applyBorder="1" applyAlignment="1" applyProtection="1">
      <alignment horizontal="center" vertical="center"/>
    </xf>
    <xf numFmtId="0" fontId="3" fillId="0" borderId="16" xfId="0" applyFont="1" applyBorder="1" applyAlignment="1">
      <alignment horizontal="left" vertical="center" indent="1"/>
    </xf>
    <xf numFmtId="3" fontId="10" fillId="0" borderId="18" xfId="0" applyNumberFormat="1" applyFont="1" applyBorder="1" applyAlignment="1">
      <alignment horizontal="center" vertical="center"/>
    </xf>
    <xf numFmtId="0" fontId="15" fillId="0" borderId="17" xfId="0" applyFont="1" applyBorder="1" applyAlignment="1">
      <alignment horizontal="center" vertical="center"/>
    </xf>
    <xf numFmtId="0" fontId="3" fillId="0" borderId="17" xfId="0" applyFont="1" applyBorder="1" applyAlignment="1">
      <alignment vertical="center"/>
    </xf>
    <xf numFmtId="165" fontId="12" fillId="0" borderId="43" xfId="0" applyNumberFormat="1" applyFont="1" applyBorder="1" applyAlignment="1">
      <alignment horizontal="center" vertical="center"/>
    </xf>
    <xf numFmtId="0" fontId="3" fillId="0" borderId="16" xfId="0" applyFont="1" applyBorder="1" applyAlignment="1">
      <alignment horizontal="left" vertical="center" indent="2"/>
    </xf>
    <xf numFmtId="165" fontId="3" fillId="0" borderId="18" xfId="0" applyNumberFormat="1" applyFont="1" applyBorder="1" applyAlignment="1">
      <alignment horizontal="center" vertical="center"/>
    </xf>
    <xf numFmtId="165" fontId="3" fillId="0" borderId="31" xfId="0" applyNumberFormat="1" applyFont="1" applyBorder="1" applyAlignment="1">
      <alignment horizontal="center" vertical="center"/>
    </xf>
    <xf numFmtId="165" fontId="10" fillId="0" borderId="9" xfId="0" applyNumberFormat="1" applyFont="1" applyBorder="1" applyAlignment="1">
      <alignment horizontal="center" vertical="center"/>
    </xf>
    <xf numFmtId="0" fontId="3" fillId="0" borderId="19" xfId="0" applyFont="1" applyBorder="1" applyAlignment="1">
      <alignment horizontal="left" vertical="center" indent="2"/>
    </xf>
    <xf numFmtId="0" fontId="15" fillId="0" borderId="45" xfId="0" applyFont="1" applyBorder="1" applyAlignment="1">
      <alignment horizontal="center" vertical="center"/>
    </xf>
    <xf numFmtId="164" fontId="3" fillId="0" borderId="20" xfId="0" applyNumberFormat="1" applyFont="1" applyBorder="1" applyAlignment="1">
      <alignment horizontal="center" vertical="center"/>
    </xf>
    <xf numFmtId="164" fontId="3" fillId="0" borderId="46" xfId="0" applyNumberFormat="1" applyFont="1" applyBorder="1" applyAlignment="1">
      <alignment horizontal="center" vertical="center"/>
    </xf>
    <xf numFmtId="165" fontId="10" fillId="0" borderId="12" xfId="0" applyNumberFormat="1" applyFont="1" applyBorder="1" applyAlignment="1">
      <alignment horizontal="center" vertical="center"/>
    </xf>
    <xf numFmtId="0" fontId="16" fillId="0" borderId="0" xfId="0" applyFont="1" applyAlignment="1">
      <alignment vertical="center"/>
    </xf>
    <xf numFmtId="0" fontId="2" fillId="0" borderId="24" xfId="0" applyFont="1" applyBorder="1"/>
    <xf numFmtId="0" fontId="3" fillId="0" borderId="44" xfId="0" applyFont="1" applyBorder="1" applyAlignment="1">
      <alignment horizontal="center" vertical="center"/>
    </xf>
    <xf numFmtId="0" fontId="3" fillId="0" borderId="19" xfId="0" applyFont="1" applyBorder="1" applyAlignment="1">
      <alignment horizontal="left" vertical="center" indent="1"/>
    </xf>
    <xf numFmtId="0" fontId="3" fillId="0" borderId="45" xfId="0" applyFont="1" applyBorder="1" applyAlignment="1">
      <alignment horizontal="center" vertical="center"/>
    </xf>
    <xf numFmtId="165" fontId="3" fillId="0" borderId="45" xfId="0" applyNumberFormat="1" applyFont="1" applyBorder="1" applyAlignment="1">
      <alignment horizontal="center" vertical="center"/>
    </xf>
    <xf numFmtId="165" fontId="3" fillId="0" borderId="11" xfId="0" applyNumberFormat="1" applyFont="1" applyBorder="1" applyAlignment="1">
      <alignment horizontal="center" vertical="center"/>
    </xf>
    <xf numFmtId="165" fontId="10" fillId="0" borderId="68" xfId="0" applyNumberFormat="1" applyFont="1" applyBorder="1" applyAlignment="1">
      <alignment horizontal="center" vertical="center"/>
    </xf>
    <xf numFmtId="0" fontId="2" fillId="0" borderId="24" xfId="0" applyFont="1" applyBorder="1" applyAlignment="1">
      <alignment horizontal="left"/>
    </xf>
    <xf numFmtId="0" fontId="3" fillId="0" borderId="20" xfId="0" applyFont="1" applyBorder="1" applyAlignment="1">
      <alignment horizontal="right" vertical="center" wrapText="1"/>
    </xf>
    <xf numFmtId="0" fontId="3" fillId="0" borderId="13" xfId="0" applyFont="1" applyBorder="1"/>
    <xf numFmtId="0" fontId="3" fillId="0" borderId="14" xfId="0" applyFont="1" applyBorder="1" applyAlignment="1">
      <alignment horizontal="center"/>
    </xf>
    <xf numFmtId="0" fontId="3" fillId="0" borderId="16" xfId="0" applyFont="1" applyBorder="1" applyAlignment="1">
      <alignment vertical="center"/>
    </xf>
    <xf numFmtId="3" fontId="3" fillId="0" borderId="17" xfId="0" applyNumberFormat="1" applyFont="1" applyBorder="1" applyAlignment="1">
      <alignment horizontal="center" vertical="center"/>
    </xf>
    <xf numFmtId="9" fontId="3" fillId="0" borderId="17" xfId="2" applyFont="1" applyBorder="1" applyAlignment="1" applyProtection="1">
      <alignment horizontal="center" vertical="center"/>
    </xf>
    <xf numFmtId="0" fontId="3" fillId="0" borderId="40" xfId="0" applyFont="1" applyBorder="1"/>
    <xf numFmtId="0" fontId="3" fillId="0" borderId="41" xfId="0" applyFont="1" applyBorder="1" applyAlignment="1">
      <alignment horizontal="center"/>
    </xf>
    <xf numFmtId="0" fontId="3" fillId="0" borderId="41" xfId="0" applyFont="1" applyBorder="1"/>
    <xf numFmtId="0" fontId="3" fillId="0" borderId="42" xfId="0" applyFont="1" applyBorder="1"/>
    <xf numFmtId="0" fontId="3" fillId="0" borderId="38" xfId="0" applyFont="1" applyBorder="1"/>
    <xf numFmtId="0" fontId="3" fillId="0" borderId="27" xfId="0" applyFont="1" applyBorder="1"/>
    <xf numFmtId="0" fontId="3" fillId="0" borderId="28" xfId="0" applyFont="1" applyBorder="1" applyAlignment="1">
      <alignment horizontal="center"/>
    </xf>
    <xf numFmtId="0" fontId="3" fillId="0" borderId="28" xfId="0" applyFont="1" applyBorder="1"/>
    <xf numFmtId="0" fontId="3" fillId="0" borderId="29" xfId="0" applyFont="1" applyBorder="1"/>
    <xf numFmtId="169" fontId="8" fillId="0" borderId="5" xfId="0" applyNumberFormat="1" applyFont="1" applyBorder="1" applyAlignment="1">
      <alignment horizontal="center" vertical="center"/>
    </xf>
    <xf numFmtId="169" fontId="8" fillId="0" borderId="8" xfId="0" applyNumberFormat="1" applyFont="1" applyBorder="1" applyAlignment="1">
      <alignment horizontal="center" vertical="center"/>
    </xf>
    <xf numFmtId="0" fontId="8" fillId="0" borderId="69" xfId="0" applyFont="1" applyBorder="1" applyAlignment="1">
      <alignment horizontal="center" vertical="center"/>
    </xf>
    <xf numFmtId="164" fontId="8" fillId="0" borderId="69" xfId="0" applyNumberFormat="1" applyFont="1" applyBorder="1" applyAlignment="1">
      <alignment horizontal="center" vertical="center"/>
    </xf>
    <xf numFmtId="164" fontId="8" fillId="0" borderId="70" xfId="0" applyNumberFormat="1" applyFont="1" applyBorder="1" applyAlignment="1">
      <alignment horizontal="center" vertical="center"/>
    </xf>
    <xf numFmtId="0" fontId="8" fillId="0" borderId="71" xfId="0" applyFont="1" applyBorder="1" applyAlignment="1">
      <alignment horizontal="left" vertical="center" wrapText="1"/>
    </xf>
    <xf numFmtId="0" fontId="8" fillId="0" borderId="53" xfId="0" applyFont="1" applyBorder="1" applyAlignment="1">
      <alignment horizontal="center" vertical="center"/>
    </xf>
    <xf numFmtId="164" fontId="8" fillId="0" borderId="54" xfId="0" applyNumberFormat="1" applyFont="1" applyBorder="1" applyAlignment="1">
      <alignment horizontal="center" vertical="center"/>
    </xf>
    <xf numFmtId="164" fontId="8" fillId="0" borderId="72" xfId="0" applyNumberFormat="1" applyFont="1" applyBorder="1" applyAlignment="1">
      <alignment horizontal="center" vertical="center"/>
    </xf>
    <xf numFmtId="0" fontId="10" fillId="0" borderId="73" xfId="0" applyFont="1" applyBorder="1" applyAlignment="1">
      <alignment horizontal="left" wrapText="1"/>
    </xf>
    <xf numFmtId="0" fontId="8" fillId="0" borderId="2" xfId="0" applyFont="1" applyBorder="1" applyAlignment="1">
      <alignment horizontal="center" vertical="center"/>
    </xf>
    <xf numFmtId="166" fontId="8" fillId="0" borderId="2" xfId="0" applyNumberFormat="1" applyFont="1" applyBorder="1" applyAlignment="1">
      <alignment horizontal="center" vertical="center"/>
    </xf>
    <xf numFmtId="166" fontId="8" fillId="0" borderId="74" xfId="0" applyNumberFormat="1" applyFont="1" applyBorder="1" applyAlignment="1">
      <alignment horizontal="center" vertical="center"/>
    </xf>
    <xf numFmtId="169" fontId="8" fillId="0" borderId="61" xfId="0" applyNumberFormat="1" applyFont="1" applyBorder="1" applyAlignment="1">
      <alignment horizontal="center" vertical="center"/>
    </xf>
    <xf numFmtId="169" fontId="8" fillId="0" borderId="63" xfId="0" applyNumberFormat="1" applyFont="1" applyBorder="1" applyAlignment="1">
      <alignment horizontal="center" vertical="center"/>
    </xf>
    <xf numFmtId="0" fontId="3" fillId="0" borderId="0" xfId="0"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center" wrapText="1"/>
    </xf>
    <xf numFmtId="0" fontId="3" fillId="0" borderId="1" xfId="0" applyFont="1" applyBorder="1" applyAlignment="1">
      <alignment horizontal="left" vertical="top" wrapText="1"/>
    </xf>
    <xf numFmtId="0" fontId="3" fillId="0" borderId="23" xfId="0" applyFont="1" applyBorder="1" applyAlignment="1">
      <alignment horizontal="left" vertical="top"/>
    </xf>
    <xf numFmtId="164" fontId="8" fillId="0" borderId="6" xfId="0" applyNumberFormat="1" applyFont="1" applyBorder="1" applyAlignment="1">
      <alignment horizontal="center" vertical="center"/>
    </xf>
    <xf numFmtId="164" fontId="8" fillId="0" borderId="9" xfId="0" applyNumberFormat="1" applyFont="1" applyBorder="1" applyAlignment="1">
      <alignment horizontal="center" vertical="center"/>
    </xf>
    <xf numFmtId="3" fontId="3" fillId="0" borderId="25" xfId="0" applyNumberFormat="1" applyFont="1" applyBorder="1" applyAlignment="1">
      <alignment horizontal="right" vertical="center"/>
    </xf>
    <xf numFmtId="0" fontId="3" fillId="0" borderId="19" xfId="0" applyFont="1" applyBorder="1" applyAlignment="1">
      <alignment horizontal="left" vertical="center" wrapText="1" indent="1"/>
    </xf>
    <xf numFmtId="0" fontId="3" fillId="0" borderId="49" xfId="0" applyFont="1" applyBorder="1" applyAlignment="1">
      <alignment horizontal="left" vertical="center" indent="1"/>
    </xf>
    <xf numFmtId="0" fontId="2" fillId="0" borderId="13" xfId="0" applyFont="1" applyBorder="1" applyAlignment="1">
      <alignment horizontal="left"/>
    </xf>
    <xf numFmtId="0" fontId="3" fillId="0" borderId="14" xfId="0" applyFont="1" applyBorder="1" applyAlignment="1">
      <alignment horizontal="center" vertical="center"/>
    </xf>
    <xf numFmtId="164" fontId="3" fillId="0" borderId="17" xfId="0" applyNumberFormat="1" applyFont="1" applyBorder="1" applyAlignment="1">
      <alignment horizontal="center" vertical="center"/>
    </xf>
    <xf numFmtId="164" fontId="8" fillId="0" borderId="31" xfId="0" applyNumberFormat="1"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0" fontId="2" fillId="0" borderId="16" xfId="0" applyFont="1" applyBorder="1" applyAlignment="1">
      <alignment vertical="center"/>
    </xf>
    <xf numFmtId="0" fontId="2" fillId="0" borderId="17" xfId="0" applyFont="1" applyBorder="1" applyAlignment="1">
      <alignment horizontal="center" vertical="center"/>
    </xf>
    <xf numFmtId="3" fontId="2" fillId="0" borderId="17" xfId="0" applyNumberFormat="1" applyFont="1" applyBorder="1" applyAlignment="1">
      <alignment horizontal="center" vertical="center"/>
    </xf>
    <xf numFmtId="0" fontId="10" fillId="0" borderId="5" xfId="0" applyFont="1" applyBorder="1" applyAlignment="1">
      <alignment horizontal="center" vertical="center" wrapText="1"/>
    </xf>
    <xf numFmtId="0" fontId="10" fillId="0" borderId="48" xfId="0" applyFont="1" applyBorder="1" applyAlignment="1">
      <alignment horizontal="center" vertical="center" wrapText="1"/>
    </xf>
    <xf numFmtId="164" fontId="8" fillId="0" borderId="46" xfId="0" applyNumberFormat="1" applyFont="1" applyBorder="1" applyAlignment="1">
      <alignment horizontal="center" vertical="center"/>
    </xf>
    <xf numFmtId="0" fontId="3" fillId="0" borderId="19" xfId="0" applyFont="1" applyBorder="1"/>
    <xf numFmtId="0" fontId="3" fillId="0" borderId="45" xfId="0" applyFont="1" applyBorder="1" applyAlignment="1">
      <alignment horizontal="center"/>
    </xf>
    <xf numFmtId="0" fontId="3" fillId="0" borderId="45" xfId="0" applyFont="1" applyBorder="1"/>
    <xf numFmtId="0" fontId="3" fillId="0" borderId="25" xfId="0" applyFont="1" applyBorder="1"/>
    <xf numFmtId="0" fontId="11" fillId="0" borderId="2" xfId="0" applyFont="1" applyBorder="1" applyAlignment="1">
      <alignment horizontal="right" vertical="center"/>
    </xf>
    <xf numFmtId="0" fontId="3" fillId="0" borderId="16" xfId="0" applyFont="1" applyBorder="1" applyAlignment="1">
      <alignment horizontal="left" vertical="center" wrapText="1"/>
    </xf>
    <xf numFmtId="170" fontId="8" fillId="0" borderId="8" xfId="0" applyNumberFormat="1" applyFont="1" applyBorder="1" applyAlignment="1">
      <alignment horizontal="center" vertical="center"/>
    </xf>
    <xf numFmtId="0" fontId="18" fillId="0" borderId="0" xfId="0" applyFont="1" applyAlignment="1">
      <alignment wrapText="1"/>
    </xf>
    <xf numFmtId="0" fontId="19" fillId="0" borderId="51" xfId="0" applyFont="1" applyBorder="1"/>
    <xf numFmtId="165" fontId="19" fillId="0" borderId="51" xfId="0" applyNumberFormat="1" applyFont="1" applyBorder="1"/>
    <xf numFmtId="0" fontId="18" fillId="0" borderId="51" xfId="0" applyFont="1" applyBorder="1"/>
    <xf numFmtId="0" fontId="18" fillId="0" borderId="51" xfId="0" applyFont="1" applyBorder="1" applyAlignment="1">
      <alignment horizontal="center" wrapText="1"/>
    </xf>
    <xf numFmtId="0" fontId="18" fillId="0" borderId="51" xfId="0" applyFont="1" applyBorder="1" applyAlignment="1">
      <alignment wrapText="1"/>
    </xf>
    <xf numFmtId="0" fontId="19" fillId="0" borderId="51" xfId="0" applyFont="1" applyBorder="1" applyAlignment="1">
      <alignment horizontal="center"/>
    </xf>
    <xf numFmtId="165" fontId="19" fillId="0" borderId="51" xfId="0" applyNumberFormat="1" applyFont="1" applyBorder="1" applyAlignment="1">
      <alignment horizontal="center"/>
    </xf>
    <xf numFmtId="0" fontId="19" fillId="0" borderId="0" xfId="0" applyFont="1" applyAlignment="1">
      <alignment wrapText="1"/>
    </xf>
    <xf numFmtId="10" fontId="19" fillId="0" borderId="51" xfId="0" applyNumberFormat="1" applyFont="1" applyBorder="1"/>
    <xf numFmtId="9" fontId="8" fillId="0" borderId="54" xfId="2" applyFont="1" applyBorder="1" applyAlignment="1" applyProtection="1">
      <alignment horizontal="center" vertical="center"/>
      <protection locked="0"/>
    </xf>
    <xf numFmtId="9" fontId="8" fillId="0" borderId="8" xfId="2" applyFont="1" applyBorder="1" applyAlignment="1" applyProtection="1">
      <alignment horizontal="center" vertical="center"/>
      <protection locked="0"/>
    </xf>
    <xf numFmtId="3" fontId="8" fillId="0" borderId="11" xfId="2" applyNumberFormat="1" applyFont="1" applyBorder="1" applyAlignment="1" applyProtection="1">
      <alignment horizontal="center" vertical="center"/>
    </xf>
    <xf numFmtId="164" fontId="8" fillId="0" borderId="76" xfId="0" applyNumberFormat="1" applyFont="1" applyBorder="1" applyAlignment="1">
      <alignment horizontal="right" vertical="center"/>
    </xf>
    <xf numFmtId="0" fontId="8" fillId="0" borderId="30" xfId="0" applyFont="1" applyBorder="1" applyAlignment="1">
      <alignment horizontal="left" vertical="center"/>
    </xf>
    <xf numFmtId="164" fontId="8" fillId="0" borderId="25" xfId="0" applyNumberFormat="1" applyFont="1" applyBorder="1" applyAlignment="1">
      <alignment horizontal="right" vertical="center"/>
    </xf>
    <xf numFmtId="164" fontId="8" fillId="0" borderId="39" xfId="0" applyNumberFormat="1" applyFont="1" applyBorder="1" applyAlignment="1">
      <alignment horizontal="right" vertical="center"/>
    </xf>
    <xf numFmtId="0" fontId="3" fillId="0" borderId="49" xfId="0" applyFont="1" applyBorder="1" applyAlignment="1">
      <alignment horizontal="left" vertical="center" wrapText="1"/>
    </xf>
    <xf numFmtId="166" fontId="8" fillId="0" borderId="21" xfId="0" applyNumberFormat="1" applyFont="1" applyBorder="1" applyAlignment="1">
      <alignment horizontal="center" vertical="center"/>
    </xf>
    <xf numFmtId="0" fontId="3" fillId="0" borderId="24" xfId="0" applyFont="1" applyBorder="1"/>
    <xf numFmtId="0" fontId="3" fillId="0" borderId="26" xfId="0" applyFont="1" applyBorder="1"/>
    <xf numFmtId="0" fontId="3" fillId="0" borderId="37" xfId="0" applyFont="1" applyBorder="1" applyAlignment="1">
      <alignment vertical="center"/>
    </xf>
    <xf numFmtId="0" fontId="3" fillId="0" borderId="37" xfId="0" applyFont="1" applyBorder="1"/>
    <xf numFmtId="0" fontId="8" fillId="3" borderId="0" xfId="0" applyFont="1" applyFill="1" applyAlignment="1">
      <alignment horizontal="left" vertical="center"/>
    </xf>
    <xf numFmtId="0" fontId="8" fillId="0" borderId="13" xfId="0" applyFont="1" applyBorder="1" applyAlignment="1">
      <alignment horizontal="left" vertical="center"/>
    </xf>
    <xf numFmtId="3" fontId="3" fillId="4" borderId="14" xfId="0" applyNumberFormat="1" applyFont="1" applyFill="1" applyBorder="1" applyAlignment="1" applyProtection="1">
      <alignment horizontal="center" vertical="center"/>
      <protection locked="0"/>
    </xf>
    <xf numFmtId="0" fontId="3" fillId="0" borderId="0" xfId="0" applyFont="1" applyAlignment="1">
      <alignment vertical="top" wrapText="1"/>
    </xf>
    <xf numFmtId="0" fontId="6" fillId="0" borderId="2" xfId="0" applyFont="1" applyBorder="1" applyAlignment="1">
      <alignment vertical="center" wrapText="1"/>
    </xf>
    <xf numFmtId="0" fontId="3" fillId="0" borderId="0" xfId="0" quotePrefix="1" applyFont="1" applyAlignment="1">
      <alignment wrapText="1"/>
    </xf>
    <xf numFmtId="0" fontId="8" fillId="0" borderId="5" xfId="0" applyFont="1" applyBorder="1" applyAlignment="1" applyProtection="1">
      <alignment horizontal="center" vertical="center"/>
      <protection locked="0"/>
    </xf>
    <xf numFmtId="3" fontId="8" fillId="0" borderId="2" xfId="0" applyNumberFormat="1" applyFont="1" applyBorder="1" applyAlignment="1">
      <alignment horizontal="center" vertical="center"/>
    </xf>
    <xf numFmtId="3" fontId="8" fillId="0" borderId="5" xfId="0" applyNumberFormat="1" applyFont="1" applyBorder="1" applyAlignment="1" applyProtection="1">
      <alignment horizontal="center" vertical="center"/>
      <protection locked="0"/>
    </xf>
    <xf numFmtId="166" fontId="8" fillId="0" borderId="11" xfId="0" applyNumberFormat="1" applyFont="1" applyBorder="1" applyAlignment="1" applyProtection="1">
      <alignment horizontal="center" vertical="center"/>
      <protection locked="0"/>
    </xf>
    <xf numFmtId="3" fontId="8" fillId="0" borderId="14" xfId="0" applyNumberFormat="1" applyFont="1" applyBorder="1" applyAlignment="1">
      <alignment horizontal="center" vertical="center"/>
    </xf>
    <xf numFmtId="3" fontId="8" fillId="0" borderId="47" xfId="0" applyNumberFormat="1" applyFont="1" applyBorder="1" applyAlignment="1">
      <alignment horizontal="center" vertical="center"/>
    </xf>
    <xf numFmtId="3" fontId="8" fillId="0" borderId="21" xfId="0" applyNumberFormat="1"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3" fontId="8" fillId="0" borderId="11" xfId="0" applyNumberFormat="1" applyFont="1" applyBorder="1" applyAlignment="1" applyProtection="1">
      <alignment horizontal="center" vertical="center"/>
      <protection locked="0"/>
    </xf>
    <xf numFmtId="3" fontId="8" fillId="0" borderId="25" xfId="0" applyNumberFormat="1" applyFont="1" applyBorder="1" applyAlignment="1">
      <alignment horizontal="center" vertical="center"/>
    </xf>
    <xf numFmtId="164" fontId="8" fillId="0" borderId="11" xfId="0" applyNumberFormat="1" applyFont="1" applyBorder="1" applyAlignment="1" applyProtection="1">
      <alignment horizontal="center" vertical="center"/>
      <protection locked="0"/>
    </xf>
    <xf numFmtId="164" fontId="8" fillId="0" borderId="12" xfId="0" applyNumberFormat="1" applyFont="1" applyBorder="1" applyAlignment="1" applyProtection="1">
      <alignment horizontal="center" vertical="center"/>
      <protection locked="0"/>
    </xf>
    <xf numFmtId="164" fontId="8" fillId="0" borderId="5" xfId="0" applyNumberFormat="1" applyFont="1" applyBorder="1" applyAlignment="1" applyProtection="1">
      <alignment horizontal="center" vertical="center"/>
      <protection locked="0"/>
    </xf>
    <xf numFmtId="164" fontId="8" fillId="0" borderId="6" xfId="0" applyNumberFormat="1" applyFont="1" applyBorder="1" applyAlignment="1" applyProtection="1">
      <alignment horizontal="center" vertical="center"/>
      <protection locked="0"/>
    </xf>
    <xf numFmtId="164" fontId="8" fillId="0" borderId="8" xfId="0" applyNumberFormat="1" applyFont="1" applyBorder="1" applyAlignment="1" applyProtection="1">
      <alignment horizontal="center" vertical="center"/>
      <protection locked="0"/>
    </xf>
    <xf numFmtId="164" fontId="8" fillId="0" borderId="21" xfId="0" applyNumberFormat="1" applyFont="1" applyBorder="1" applyAlignment="1" applyProtection="1">
      <alignment horizontal="center" vertical="center"/>
      <protection locked="0"/>
    </xf>
    <xf numFmtId="164" fontId="8" fillId="0" borderId="75" xfId="0" applyNumberFormat="1" applyFont="1" applyBorder="1" applyAlignment="1" applyProtection="1">
      <alignment horizontal="center" vertical="center"/>
      <protection locked="0"/>
    </xf>
    <xf numFmtId="0" fontId="20" fillId="0" borderId="0" xfId="0" applyFont="1" applyAlignment="1">
      <alignment horizontal="center" vertical="center" wrapText="1"/>
    </xf>
    <xf numFmtId="0" fontId="10" fillId="2" borderId="0" xfId="0" applyFont="1" applyFill="1" applyProtection="1">
      <protection locked="0"/>
    </xf>
    <xf numFmtId="0" fontId="3" fillId="12" borderId="0" xfId="0" applyFont="1" applyFill="1" applyAlignment="1">
      <alignment wrapText="1"/>
    </xf>
    <xf numFmtId="0" fontId="8" fillId="2" borderId="8" xfId="0" applyFont="1" applyFill="1" applyBorder="1" applyAlignment="1" applyProtection="1">
      <alignment horizontal="center" vertical="center"/>
      <protection locked="0"/>
    </xf>
    <xf numFmtId="0" fontId="8" fillId="0" borderId="8" xfId="0" applyFont="1" applyBorder="1" applyAlignment="1" applyProtection="1">
      <alignment horizontal="center" vertical="center" wrapText="1"/>
      <protection locked="0"/>
    </xf>
    <xf numFmtId="1" fontId="8" fillId="0" borderId="8" xfId="0" applyNumberFormat="1" applyFont="1" applyBorder="1" applyAlignment="1" applyProtection="1">
      <alignment horizontal="center" vertical="center"/>
      <protection locked="0"/>
    </xf>
    <xf numFmtId="0" fontId="8" fillId="0" borderId="11" xfId="0" applyFont="1" applyBorder="1" applyAlignment="1" applyProtection="1">
      <alignment horizontal="center" vertical="center" wrapText="1"/>
      <protection locked="0"/>
    </xf>
    <xf numFmtId="0" fontId="3" fillId="0" borderId="18" xfId="0" applyFont="1" applyBorder="1" applyAlignment="1">
      <alignment horizontal="center" vertical="center" wrapText="1"/>
    </xf>
    <xf numFmtId="0" fontId="3" fillId="0" borderId="0" xfId="0" applyFont="1" applyAlignment="1">
      <alignment vertical="center" wrapText="1"/>
    </xf>
    <xf numFmtId="0" fontId="8" fillId="0" borderId="15" xfId="0" applyFont="1" applyBorder="1" applyAlignment="1">
      <alignment horizontal="center" wrapText="1"/>
    </xf>
    <xf numFmtId="0" fontId="10" fillId="0" borderId="24" xfId="0" applyFont="1" applyBorder="1" applyAlignment="1">
      <alignment horizontal="center" wrapText="1"/>
    </xf>
    <xf numFmtId="0" fontId="8" fillId="0" borderId="0" xfId="0" applyFont="1" applyAlignment="1">
      <alignment horizontal="center" wrapText="1"/>
    </xf>
    <xf numFmtId="9" fontId="3" fillId="0" borderId="41" xfId="2" applyFont="1" applyBorder="1" applyAlignment="1" applyProtection="1">
      <alignment horizontal="center" vertical="center"/>
    </xf>
    <xf numFmtId="165" fontId="12" fillId="0" borderId="42" xfId="0" applyNumberFormat="1" applyFont="1" applyBorder="1" applyAlignment="1">
      <alignment horizontal="center" vertical="center"/>
    </xf>
    <xf numFmtId="0" fontId="3" fillId="0" borderId="40" xfId="0" applyFont="1" applyBorder="1" applyAlignment="1">
      <alignment horizontal="left" vertical="center" indent="2"/>
    </xf>
    <xf numFmtId="0" fontId="3" fillId="0" borderId="75" xfId="0" applyFont="1" applyBorder="1" applyAlignment="1">
      <alignment horizontal="left" vertical="center"/>
    </xf>
    <xf numFmtId="4" fontId="19" fillId="0" borderId="0" xfId="0" applyNumberFormat="1" applyFont="1" applyAlignment="1">
      <alignment wrapText="1"/>
    </xf>
    <xf numFmtId="4" fontId="19" fillId="0" borderId="51" xfId="0" applyNumberFormat="1" applyFont="1" applyBorder="1"/>
    <xf numFmtId="4" fontId="19" fillId="0" borderId="0" xfId="0" applyNumberFormat="1" applyFont="1"/>
    <xf numFmtId="4" fontId="3" fillId="0" borderId="0" xfId="0" applyNumberFormat="1" applyFont="1" applyAlignment="1">
      <alignment vertical="center" wrapText="1"/>
    </xf>
    <xf numFmtId="4" fontId="3" fillId="0" borderId="16" xfId="0" applyNumberFormat="1" applyFont="1" applyBorder="1" applyAlignment="1">
      <alignment horizontal="left" vertical="center" wrapText="1"/>
    </xf>
    <xf numFmtId="4" fontId="3" fillId="0" borderId="18" xfId="0" applyNumberFormat="1" applyFont="1" applyBorder="1" applyAlignment="1">
      <alignment horizontal="center" vertical="center" wrapText="1"/>
    </xf>
    <xf numFmtId="4" fontId="3" fillId="0" borderId="0" xfId="0" applyNumberFormat="1" applyFont="1" applyAlignment="1">
      <alignment horizontal="center" vertical="center" wrapText="1"/>
    </xf>
    <xf numFmtId="3" fontId="8" fillId="0" borderId="8" xfId="0" applyNumberFormat="1" applyFont="1" applyBorder="1" applyAlignment="1">
      <alignment horizontal="center" vertical="center" wrapText="1"/>
    </xf>
    <xf numFmtId="0" fontId="10" fillId="0" borderId="24" xfId="0" applyFont="1" applyBorder="1" applyAlignment="1">
      <alignment horizontal="left" wrapText="1"/>
    </xf>
    <xf numFmtId="0" fontId="8" fillId="0" borderId="22" xfId="0" applyFont="1" applyBorder="1" applyAlignment="1">
      <alignment horizontal="center"/>
    </xf>
    <xf numFmtId="0" fontId="8" fillId="0" borderId="36" xfId="0" applyFont="1" applyBorder="1" applyAlignment="1">
      <alignment horizontal="center"/>
    </xf>
    <xf numFmtId="4" fontId="8" fillId="0" borderId="0" xfId="0" applyNumberFormat="1" applyFont="1"/>
    <xf numFmtId="4" fontId="10" fillId="0" borderId="0" xfId="0" applyNumberFormat="1" applyFont="1" applyAlignment="1">
      <alignment horizontal="left"/>
    </xf>
    <xf numFmtId="4" fontId="8" fillId="0" borderId="0" xfId="0" applyNumberFormat="1" applyFont="1" applyAlignment="1">
      <alignment horizontal="center"/>
    </xf>
    <xf numFmtId="0" fontId="10" fillId="0" borderId="0" xfId="0" applyFont="1" applyAlignment="1">
      <alignment horizontal="left" wrapText="1"/>
    </xf>
    <xf numFmtId="0" fontId="10" fillId="0" borderId="1" xfId="0" applyFont="1" applyBorder="1" applyAlignment="1">
      <alignment horizontal="left" wrapText="1"/>
    </xf>
    <xf numFmtId="0" fontId="8" fillId="0" borderId="23" xfId="0" applyFont="1" applyBorder="1" applyAlignment="1">
      <alignment horizontal="center" vertical="center"/>
    </xf>
    <xf numFmtId="0" fontId="10" fillId="0" borderId="26" xfId="0" applyFont="1" applyBorder="1" applyAlignment="1">
      <alignment horizontal="center" wrapText="1"/>
    </xf>
    <xf numFmtId="164" fontId="8" fillId="0" borderId="12" xfId="0" applyNumberFormat="1" applyFont="1" applyBorder="1" applyAlignment="1">
      <alignment horizontal="center" vertical="center"/>
    </xf>
    <xf numFmtId="4" fontId="8" fillId="0" borderId="0" xfId="0" applyNumberFormat="1" applyFont="1" applyAlignment="1">
      <alignment horizontal="right" vertical="center"/>
    </xf>
    <xf numFmtId="4" fontId="8" fillId="0" borderId="0" xfId="0" applyNumberFormat="1" applyFont="1" applyAlignment="1">
      <alignment horizontal="left" vertical="center"/>
    </xf>
    <xf numFmtId="0" fontId="8" fillId="0" borderId="0" xfId="0" applyFont="1" applyAlignment="1">
      <alignment horizontal="right" vertical="center" wrapText="1"/>
    </xf>
    <xf numFmtId="164" fontId="8" fillId="0" borderId="78" xfId="0" applyNumberFormat="1" applyFont="1" applyBorder="1" applyAlignment="1">
      <alignment horizontal="right" vertical="center"/>
    </xf>
    <xf numFmtId="4" fontId="3" fillId="0" borderId="17" xfId="0" applyNumberFormat="1" applyFont="1" applyBorder="1" applyAlignment="1">
      <alignment horizontal="center" vertical="center"/>
    </xf>
    <xf numFmtId="4" fontId="3" fillId="0" borderId="17" xfId="2" applyNumberFormat="1" applyFont="1" applyBorder="1" applyAlignment="1" applyProtection="1">
      <alignment horizontal="center" vertical="center"/>
    </xf>
    <xf numFmtId="4" fontId="12" fillId="0" borderId="43" xfId="0" applyNumberFormat="1" applyFont="1" applyBorder="1" applyAlignment="1">
      <alignment horizontal="center" vertical="center"/>
    </xf>
    <xf numFmtId="4" fontId="3" fillId="0" borderId="37" xfId="0" applyNumberFormat="1" applyFont="1" applyBorder="1"/>
    <xf numFmtId="4" fontId="3" fillId="0" borderId="0" xfId="0" applyNumberFormat="1" applyFont="1"/>
    <xf numFmtId="4" fontId="3" fillId="0" borderId="38" xfId="0" applyNumberFormat="1" applyFont="1" applyBorder="1"/>
    <xf numFmtId="4" fontId="3" fillId="0" borderId="16" xfId="0" applyNumberFormat="1" applyFont="1" applyBorder="1" applyAlignment="1">
      <alignment horizontal="left" vertical="center" indent="2"/>
    </xf>
    <xf numFmtId="9" fontId="3" fillId="0" borderId="14" xfId="2" applyFont="1" applyBorder="1" applyAlignment="1" applyProtection="1">
      <alignment horizontal="center" vertical="center"/>
    </xf>
    <xf numFmtId="165" fontId="10" fillId="0" borderId="47" xfId="0" applyNumberFormat="1" applyFont="1" applyBorder="1" applyAlignment="1">
      <alignment horizontal="center" vertical="center"/>
    </xf>
    <xf numFmtId="165" fontId="3" fillId="0" borderId="14" xfId="0" applyNumberFormat="1" applyFont="1" applyBorder="1" applyAlignment="1">
      <alignment horizontal="center" vertical="center"/>
    </xf>
    <xf numFmtId="0" fontId="15" fillId="0" borderId="14" xfId="0" applyFont="1" applyBorder="1" applyAlignment="1">
      <alignment horizontal="center" vertical="center"/>
    </xf>
    <xf numFmtId="164" fontId="3" fillId="0" borderId="14" xfId="0" applyNumberFormat="1" applyFont="1" applyBorder="1" applyAlignment="1">
      <alignment horizontal="center" vertical="center"/>
    </xf>
    <xf numFmtId="164" fontId="10" fillId="0" borderId="51" xfId="0" applyNumberFormat="1" applyFont="1" applyBorder="1" applyAlignment="1">
      <alignment horizontal="center"/>
    </xf>
    <xf numFmtId="0" fontId="8" fillId="2" borderId="6"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3" fontId="8" fillId="0" borderId="9" xfId="0" applyNumberFormat="1" applyFont="1" applyBorder="1" applyAlignment="1" applyProtection="1">
      <alignment horizontal="center" vertical="center"/>
      <protection locked="0"/>
    </xf>
    <xf numFmtId="3" fontId="8" fillId="0" borderId="9" xfId="0" applyNumberFormat="1" applyFont="1" applyBorder="1" applyAlignment="1">
      <alignment horizontal="center" vertical="center"/>
    </xf>
    <xf numFmtId="0" fontId="8" fillId="0" borderId="9" xfId="0" applyFont="1" applyBorder="1" applyAlignment="1" applyProtection="1">
      <alignment horizontal="center" vertical="center" wrapText="1"/>
      <protection locked="0"/>
    </xf>
    <xf numFmtId="3" fontId="8" fillId="0" borderId="9" xfId="0" applyNumberFormat="1" applyFont="1" applyBorder="1" applyAlignment="1">
      <alignment horizontal="center" vertical="center" wrapText="1"/>
    </xf>
    <xf numFmtId="0" fontId="8" fillId="0" borderId="9" xfId="0" applyFont="1" applyBorder="1" applyAlignment="1" applyProtection="1">
      <alignment horizontal="center" vertical="center"/>
      <protection locked="0"/>
    </xf>
    <xf numFmtId="1" fontId="8" fillId="0" borderId="9" xfId="0" applyNumberFormat="1" applyFont="1" applyBorder="1" applyAlignment="1" applyProtection="1">
      <alignment horizontal="center" vertical="center"/>
      <protection locked="0"/>
    </xf>
    <xf numFmtId="0" fontId="8" fillId="0" borderId="12"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protection locked="0"/>
    </xf>
    <xf numFmtId="9" fontId="8" fillId="0" borderId="30" xfId="2" applyFont="1" applyBorder="1" applyAlignment="1" applyProtection="1">
      <alignment horizontal="center" vertical="center"/>
      <protection locked="0"/>
    </xf>
    <xf numFmtId="3" fontId="8" fillId="0" borderId="12" xfId="2" applyNumberFormat="1" applyFont="1" applyBorder="1" applyAlignment="1" applyProtection="1">
      <alignment horizontal="center" vertical="center"/>
    </xf>
    <xf numFmtId="9" fontId="8" fillId="0" borderId="9" xfId="2" applyFont="1" applyBorder="1" applyAlignment="1" applyProtection="1">
      <alignment horizontal="center" vertical="center"/>
      <protection locked="0"/>
    </xf>
    <xf numFmtId="3" fontId="8" fillId="0" borderId="6" xfId="0" applyNumberFormat="1" applyFont="1" applyBorder="1" applyAlignment="1" applyProtection="1">
      <alignment horizontal="center" vertical="center"/>
      <protection locked="0"/>
    </xf>
    <xf numFmtId="166" fontId="8" fillId="0" borderId="75" xfId="0" applyNumberFormat="1" applyFont="1" applyBorder="1" applyAlignment="1">
      <alignment horizontal="center" vertical="center"/>
    </xf>
    <xf numFmtId="166" fontId="8" fillId="0" borderId="12" xfId="0" applyNumberFormat="1" applyFont="1" applyBorder="1" applyAlignment="1" applyProtection="1">
      <alignment horizontal="center" vertical="center"/>
      <protection locked="0"/>
    </xf>
    <xf numFmtId="3" fontId="8" fillId="0" borderId="75" xfId="0" applyNumberFormat="1" applyFont="1" applyBorder="1" applyAlignment="1" applyProtection="1">
      <alignment horizontal="center" vertical="center"/>
      <protection locked="0"/>
    </xf>
    <xf numFmtId="3" fontId="8" fillId="0" borderId="12" xfId="0" applyNumberFormat="1" applyFont="1" applyBorder="1" applyAlignment="1" applyProtection="1">
      <alignment horizontal="center" vertical="center"/>
      <protection locked="0"/>
    </xf>
    <xf numFmtId="3" fontId="8" fillId="0" borderId="26" xfId="0" applyNumberFormat="1" applyFont="1" applyBorder="1" applyAlignment="1">
      <alignment horizontal="center" vertical="center"/>
    </xf>
    <xf numFmtId="170" fontId="8" fillId="0" borderId="9" xfId="0" applyNumberFormat="1" applyFont="1" applyBorder="1" applyAlignment="1">
      <alignment horizontal="center" vertical="center"/>
    </xf>
    <xf numFmtId="164" fontId="8" fillId="0" borderId="9" xfId="0" applyNumberFormat="1" applyFont="1" applyBorder="1" applyAlignment="1" applyProtection="1">
      <alignment horizontal="center" vertical="center"/>
      <protection locked="0"/>
    </xf>
    <xf numFmtId="164" fontId="8" fillId="0" borderId="22" xfId="0" applyNumberFormat="1" applyFont="1" applyBorder="1" applyAlignment="1" applyProtection="1">
      <alignment horizontal="left" vertical="top" wrapText="1"/>
      <protection locked="0"/>
    </xf>
    <xf numFmtId="164" fontId="8" fillId="0" borderId="36" xfId="0" applyNumberFormat="1" applyFont="1" applyBorder="1" applyAlignment="1" applyProtection="1">
      <alignment horizontal="left" vertical="top" wrapText="1"/>
      <protection locked="0"/>
    </xf>
    <xf numFmtId="0" fontId="26" fillId="0" borderId="0" xfId="0" applyFont="1"/>
    <xf numFmtId="0" fontId="26" fillId="0" borderId="51" xfId="0" applyFont="1" applyBorder="1" applyAlignment="1">
      <alignment vertical="top"/>
    </xf>
    <xf numFmtId="0" fontId="0" fillId="0" borderId="51" xfId="0" applyBorder="1" applyAlignment="1">
      <alignment vertical="top"/>
    </xf>
    <xf numFmtId="0" fontId="0" fillId="0" borderId="51" xfId="0" applyBorder="1" applyAlignment="1">
      <alignment vertical="top" wrapText="1"/>
    </xf>
    <xf numFmtId="0" fontId="6" fillId="0" borderId="2" xfId="0" applyFont="1" applyBorder="1" applyAlignment="1">
      <alignment horizontal="right" vertical="center" wrapText="1"/>
    </xf>
    <xf numFmtId="0" fontId="8" fillId="5" borderId="0" xfId="0" applyFont="1" applyFill="1" applyAlignment="1">
      <alignment horizontal="center" vertical="center"/>
    </xf>
    <xf numFmtId="0" fontId="3" fillId="0" borderId="27" xfId="0" applyFont="1" applyBorder="1" applyAlignment="1">
      <alignment horizontal="left" vertical="top" wrapText="1" indent="1"/>
    </xf>
    <xf numFmtId="0" fontId="3" fillId="0" borderId="28" xfId="0" applyFont="1" applyBorder="1" applyAlignment="1">
      <alignment horizontal="left" vertical="top" wrapText="1" indent="1"/>
    </xf>
    <xf numFmtId="0" fontId="3" fillId="0" borderId="29" xfId="0" applyFont="1" applyBorder="1" applyAlignment="1">
      <alignment horizontal="left" vertical="top" wrapText="1" indent="1"/>
    </xf>
    <xf numFmtId="0" fontId="3" fillId="0" borderId="37" xfId="0" applyFont="1" applyBorder="1" applyAlignment="1">
      <alignment horizontal="left" vertical="top" wrapText="1" indent="1"/>
    </xf>
    <xf numFmtId="0" fontId="3" fillId="0" borderId="0" xfId="0" applyFont="1" applyAlignment="1">
      <alignment horizontal="left" vertical="top" wrapText="1" indent="1"/>
    </xf>
    <xf numFmtId="0" fontId="3" fillId="0" borderId="38" xfId="0" applyFont="1" applyBorder="1" applyAlignment="1">
      <alignment horizontal="left" vertical="top" wrapText="1" indent="1"/>
    </xf>
    <xf numFmtId="0" fontId="8" fillId="4" borderId="0" xfId="0" applyFont="1" applyFill="1" applyAlignment="1">
      <alignment horizontal="center" vertical="center"/>
    </xf>
    <xf numFmtId="0" fontId="8" fillId="2" borderId="0" xfId="0" applyFont="1" applyFill="1" applyAlignment="1">
      <alignment horizontal="center" vertical="center"/>
    </xf>
    <xf numFmtId="0" fontId="3" fillId="0" borderId="0" xfId="0" applyFont="1" applyAlignment="1">
      <alignment horizontal="left" indent="1"/>
    </xf>
    <xf numFmtId="0" fontId="8" fillId="9" borderId="0" xfId="0" applyFont="1" applyFill="1" applyAlignment="1">
      <alignment horizontal="center" vertical="center"/>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2" fillId="0" borderId="2" xfId="0" applyFont="1" applyBorder="1" applyAlignment="1">
      <alignment horizontal="left" wrapText="1"/>
    </xf>
    <xf numFmtId="0" fontId="6" fillId="0" borderId="2" xfId="0" applyFont="1" applyBorder="1" applyAlignment="1">
      <alignment vertical="center" wrapText="1"/>
    </xf>
    <xf numFmtId="0" fontId="2" fillId="0" borderId="52" xfId="0" applyFont="1" applyBorder="1" applyAlignment="1">
      <alignment horizontal="center" vertical="center" textRotation="90"/>
    </xf>
    <xf numFmtId="0" fontId="2" fillId="0" borderId="67" xfId="0" applyFont="1" applyBorder="1" applyAlignment="1">
      <alignment horizontal="center" vertical="center" textRotation="90"/>
    </xf>
    <xf numFmtId="0" fontId="2" fillId="0" borderId="77" xfId="0" applyFont="1" applyBorder="1" applyAlignment="1">
      <alignment horizontal="center" vertical="center" textRotation="90"/>
    </xf>
    <xf numFmtId="0" fontId="2" fillId="0" borderId="28" xfId="0" applyFont="1" applyBorder="1" applyAlignment="1">
      <alignment horizontal="left" wrapText="1"/>
    </xf>
    <xf numFmtId="0" fontId="3" fillId="2" borderId="17" xfId="0" applyFont="1" applyFill="1" applyBorder="1" applyAlignment="1" applyProtection="1">
      <alignment horizontal="left" vertical="center"/>
      <protection locked="0"/>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2" fillId="0" borderId="1" xfId="0" applyFont="1" applyBorder="1" applyAlignment="1">
      <alignment horizontal="center"/>
    </xf>
    <xf numFmtId="0" fontId="2" fillId="0" borderId="23" xfId="0" applyFont="1" applyBorder="1" applyAlignment="1">
      <alignment horizontal="center"/>
    </xf>
    <xf numFmtId="0" fontId="2" fillId="0" borderId="14" xfId="0" applyFont="1" applyBorder="1" applyAlignment="1">
      <alignment horizontal="center"/>
    </xf>
    <xf numFmtId="0" fontId="3" fillId="0" borderId="16" xfId="0" applyFont="1" applyBorder="1" applyAlignment="1">
      <alignment horizontal="left" vertical="center" wrapText="1" indent="1"/>
    </xf>
    <xf numFmtId="0" fontId="3" fillId="0" borderId="18" xfId="0" applyFont="1" applyBorder="1" applyAlignment="1">
      <alignment horizontal="left" vertical="center" wrapText="1" indent="1"/>
    </xf>
    <xf numFmtId="14" fontId="3" fillId="2" borderId="17" xfId="0" applyNumberFormat="1" applyFont="1" applyFill="1" applyBorder="1" applyAlignment="1" applyProtection="1">
      <alignment horizontal="left" vertical="center"/>
      <protection locked="0"/>
    </xf>
    <xf numFmtId="0" fontId="20" fillId="0" borderId="45" xfId="0" applyFont="1" applyBorder="1" applyAlignment="1">
      <alignment wrapText="1"/>
    </xf>
    <xf numFmtId="0" fontId="20" fillId="0" borderId="68" xfId="0" applyFont="1" applyBorder="1" applyAlignment="1">
      <alignment wrapText="1"/>
    </xf>
    <xf numFmtId="165" fontId="10" fillId="0" borderId="30" xfId="0" applyNumberFormat="1" applyFont="1" applyBorder="1" applyAlignment="1">
      <alignment horizontal="center" vertical="center"/>
    </xf>
    <xf numFmtId="165" fontId="10" fillId="0" borderId="75" xfId="0" applyNumberFormat="1" applyFont="1" applyBorder="1" applyAlignment="1">
      <alignment horizontal="center" vertical="center"/>
    </xf>
  </cellXfs>
  <cellStyles count="3">
    <cellStyle name="Komma" xfId="1" builtinId="3"/>
    <cellStyle name="Prozent" xfId="2" builtinId="5"/>
    <cellStyle name="Standard" xfId="0" builtinId="0"/>
  </cellStyles>
  <dxfs count="40">
    <dxf>
      <fill>
        <patternFill>
          <bgColor rgb="FFFFC000"/>
        </patternFill>
      </fill>
    </dxf>
    <dxf>
      <fill>
        <patternFill>
          <bgColor theme="7" tint="0.79998168889431442"/>
        </patternFill>
      </fill>
    </dxf>
    <dxf>
      <fill>
        <patternFill>
          <bgColor theme="7" tint="0.79998168889431442"/>
        </patternFill>
      </fill>
    </dxf>
    <dxf>
      <fill>
        <patternFill>
          <bgColor rgb="FFFFC000"/>
        </patternFill>
      </fill>
    </dxf>
    <dxf>
      <font>
        <b/>
        <i val="0"/>
        <color rgb="FFFF0000"/>
      </font>
      <fill>
        <patternFill>
          <bgColor rgb="FFFFB7B7"/>
        </patternFill>
      </fill>
    </dxf>
    <dxf>
      <font>
        <color rgb="FF00B050"/>
      </font>
      <fill>
        <patternFill>
          <bgColor rgb="FF8CF866"/>
        </patternFill>
      </fill>
    </dxf>
    <dxf>
      <font>
        <color theme="2"/>
      </font>
    </dxf>
    <dxf>
      <font>
        <color theme="0"/>
      </font>
    </dxf>
    <dxf>
      <font>
        <color theme="2"/>
      </font>
    </dxf>
    <dxf>
      <font>
        <color theme="2"/>
      </font>
    </dxf>
    <dxf>
      <font>
        <color theme="0"/>
      </font>
    </dxf>
    <dxf>
      <fill>
        <patternFill>
          <bgColor rgb="FFFCE4D6"/>
        </patternFill>
      </fill>
    </dxf>
    <dxf>
      <fill>
        <patternFill>
          <bgColor theme="5" tint="0.79998168889431442"/>
        </patternFill>
      </fill>
    </dxf>
    <dxf>
      <fill>
        <patternFill>
          <bgColor rgb="FFFFFF00"/>
        </patternFill>
      </fill>
    </dxf>
    <dxf>
      <fill>
        <patternFill>
          <bgColor rgb="FFEEFFDD"/>
        </patternFill>
      </fill>
    </dxf>
    <dxf>
      <fill>
        <patternFill>
          <bgColor rgb="FFFFFF00"/>
        </patternFill>
      </fill>
    </dxf>
    <dxf>
      <fill>
        <patternFill>
          <bgColor rgb="FFFFFF00"/>
        </patternFill>
      </fill>
    </dxf>
    <dxf>
      <fill>
        <patternFill>
          <bgColor rgb="FFEEFFDD"/>
        </patternFill>
      </fill>
    </dxf>
    <dxf>
      <fill>
        <patternFill>
          <bgColor rgb="FFEEFFDD"/>
        </patternFill>
      </fill>
    </dxf>
    <dxf>
      <fill>
        <patternFill>
          <bgColor rgb="FFFFFF00"/>
        </patternFill>
      </fill>
    </dxf>
    <dxf>
      <fill>
        <patternFill>
          <bgColor rgb="FFEEFFDD"/>
        </patternFill>
      </fill>
    </dxf>
    <dxf>
      <fill>
        <patternFill>
          <bgColor rgb="FFFFFF00"/>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FF00"/>
        </patternFill>
      </fill>
    </dxf>
    <dxf>
      <fill>
        <patternFill>
          <bgColor rgb="FFEEFFDD"/>
        </patternFill>
      </fill>
    </dxf>
    <dxf>
      <font>
        <color theme="0"/>
      </font>
    </dxf>
    <dxf>
      <fill>
        <patternFill>
          <bgColor rgb="FFFFFF00"/>
        </patternFill>
      </fill>
    </dxf>
    <dxf>
      <fill>
        <patternFill>
          <bgColor rgb="FFEEFFDD"/>
        </patternFill>
      </fill>
    </dxf>
    <dxf>
      <fill>
        <patternFill>
          <bgColor rgb="FFEEFFDD"/>
        </patternFill>
      </fill>
    </dxf>
    <dxf>
      <fill>
        <patternFill>
          <bgColor rgb="FFFFFF00"/>
        </patternFill>
      </fill>
    </dxf>
    <dxf>
      <fill>
        <patternFill>
          <bgColor rgb="FFEEFFDD"/>
        </patternFill>
      </fill>
    </dxf>
    <dxf>
      <fill>
        <patternFill>
          <bgColor rgb="FFFFFF00"/>
        </patternFill>
      </fill>
    </dxf>
    <dxf>
      <fill>
        <patternFill>
          <bgColor rgb="FFEEFFDD"/>
        </patternFill>
      </fill>
    </dxf>
    <dxf>
      <fill>
        <patternFill>
          <bgColor rgb="FFEEFFDD"/>
        </patternFill>
      </fill>
    </dxf>
    <dxf>
      <fill>
        <patternFill>
          <bgColor rgb="FFFFFF99"/>
        </patternFill>
      </fill>
    </dxf>
    <dxf>
      <font>
        <color theme="0"/>
      </font>
    </dxf>
    <dxf>
      <fill>
        <patternFill>
          <bgColor rgb="FFFFFF00"/>
        </patternFill>
      </fill>
    </dxf>
  </dxfs>
  <tableStyles count="0" defaultTableStyle="TableStyleMedium2" defaultPivotStyle="PivotStyleLight16"/>
  <colors>
    <mruColors>
      <color rgb="FFEEFFDD"/>
      <color rgb="FFFF3399"/>
      <color rgb="FF00FF00"/>
      <color rgb="FFFFFFFF"/>
      <color rgb="FFFF5050"/>
      <color rgb="FFFFFF99"/>
      <color rgb="FFFCE4D6"/>
      <color rgb="FFCCCCFF"/>
      <color rgb="FF99FF99"/>
      <color rgb="FFFF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Uebersicht!$B$20</c:f>
          <c:strCache>
            <c:ptCount val="1"/>
            <c:pt idx="0">
              <c:v>Surfaces de référence énergétique du quartier</c:v>
            </c:pt>
          </c:strCache>
        </c:strRef>
      </c:tx>
      <c:layout>
        <c:manualLayout>
          <c:xMode val="edge"/>
          <c:yMode val="edge"/>
          <c:x val="2.1833476971463418E-2"/>
          <c:y val="2.5183853562704479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025196007376322"/>
          <c:y val="0.133652774868288"/>
          <c:w val="0.4591738972091981"/>
          <c:h val="0.46731202556578871"/>
        </c:manualLayout>
      </c:layout>
      <c:pieChart>
        <c:varyColors val="1"/>
        <c:ser>
          <c:idx val="0"/>
          <c:order val="0"/>
          <c:explosion val="5"/>
          <c:dPt>
            <c:idx val="0"/>
            <c:bubble3D val="0"/>
            <c:explosion val="3"/>
            <c:spPr>
              <a:solidFill>
                <a:schemeClr val="accent5">
                  <a:lumMod val="60000"/>
                  <a:lumOff val="40000"/>
                </a:schemeClr>
              </a:solidFill>
              <a:ln w="6350">
                <a:solidFill>
                  <a:schemeClr val="accent5"/>
                </a:solidFill>
              </a:ln>
              <a:effectLst/>
            </c:spPr>
            <c:extLst>
              <c:ext xmlns:c16="http://schemas.microsoft.com/office/drawing/2014/chart" uri="{C3380CC4-5D6E-409C-BE32-E72D297353CC}">
                <c16:uniqueId val="{00000001-9AF9-474C-A8ED-5F4B4BE48645}"/>
              </c:ext>
            </c:extLst>
          </c:dPt>
          <c:dPt>
            <c:idx val="1"/>
            <c:bubble3D val="0"/>
            <c:spPr>
              <a:solidFill>
                <a:schemeClr val="accent2">
                  <a:lumMod val="20000"/>
                  <a:lumOff val="80000"/>
                </a:schemeClr>
              </a:solidFill>
              <a:ln w="6350">
                <a:solidFill>
                  <a:schemeClr val="accent2"/>
                </a:solidFill>
              </a:ln>
              <a:effectLst/>
            </c:spPr>
            <c:extLst>
              <c:ext xmlns:c16="http://schemas.microsoft.com/office/drawing/2014/chart" uri="{C3380CC4-5D6E-409C-BE32-E72D297353CC}">
                <c16:uniqueId val="{00000005-9AF9-474C-A8ED-5F4B4BE48645}"/>
              </c:ext>
            </c:extLst>
          </c:dPt>
          <c:dPt>
            <c:idx val="2"/>
            <c:bubble3D val="0"/>
            <c:spPr>
              <a:solidFill>
                <a:schemeClr val="accent3">
                  <a:lumMod val="40000"/>
                  <a:lumOff val="60000"/>
                </a:schemeClr>
              </a:solidFill>
              <a:ln w="6350">
                <a:solidFill>
                  <a:schemeClr val="accent2"/>
                </a:solidFill>
              </a:ln>
              <a:effectLst/>
            </c:spPr>
            <c:extLst>
              <c:ext xmlns:c16="http://schemas.microsoft.com/office/drawing/2014/chart" uri="{C3380CC4-5D6E-409C-BE32-E72D297353CC}">
                <c16:uniqueId val="{00000006-55C0-4585-963C-EDCFE244CEAC}"/>
              </c:ext>
            </c:extLst>
          </c:dPt>
          <c:dPt>
            <c:idx val="3"/>
            <c:bubble3D val="0"/>
            <c:spPr>
              <a:noFill/>
              <a:ln w="9525">
                <a:solidFill>
                  <a:schemeClr val="accent2"/>
                </a:solidFill>
              </a:ln>
              <a:effectLst/>
            </c:spPr>
            <c:extLst>
              <c:ext xmlns:c16="http://schemas.microsoft.com/office/drawing/2014/chart" uri="{C3380CC4-5D6E-409C-BE32-E72D297353CC}">
                <c16:uniqueId val="{00000007-55C0-4585-963C-EDCFE244CEAC}"/>
              </c:ext>
            </c:extLst>
          </c:dPt>
          <c:dPt>
            <c:idx val="4"/>
            <c:bubble3D val="0"/>
            <c:spPr>
              <a:pattFill prst="pct20">
                <a:fgClr>
                  <a:schemeClr val="accent3"/>
                </a:fgClr>
                <a:bgClr>
                  <a:schemeClr val="bg1"/>
                </a:bgClr>
              </a:pattFill>
              <a:ln w="6350">
                <a:solidFill>
                  <a:schemeClr val="accent3"/>
                </a:solidFill>
              </a:ln>
              <a:effectLst/>
            </c:spPr>
            <c:extLst>
              <c:ext xmlns:c16="http://schemas.microsoft.com/office/drawing/2014/chart" uri="{C3380CC4-5D6E-409C-BE32-E72D297353CC}">
                <c16:uniqueId val="{00000008-55C0-4585-963C-EDCFE244CEAC}"/>
              </c:ext>
            </c:extLst>
          </c:dPt>
          <c:dPt>
            <c:idx val="5"/>
            <c:bubble3D val="0"/>
            <c:spPr>
              <a:noFill/>
              <a:ln w="6350">
                <a:solidFill>
                  <a:schemeClr val="accent3"/>
                </a:solidFill>
              </a:ln>
              <a:effectLst/>
            </c:spPr>
            <c:extLst>
              <c:ext xmlns:c16="http://schemas.microsoft.com/office/drawing/2014/chart" uri="{C3380CC4-5D6E-409C-BE32-E72D297353CC}">
                <c16:uniqueId val="{00000009-55C0-4585-963C-EDCFE244CEAC}"/>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Uebersicht!$B$23:$B$29</c15:sqref>
                  </c15:fullRef>
                </c:ext>
              </c:extLst>
              <c:f>(Uebersicht!$B$23,Uebersicht!$B$25:$B$29)</c:f>
              <c:strCache>
                <c:ptCount val="6"/>
                <c:pt idx="0">
                  <c:v>Nouvelles constructions Minergie</c:v>
                </c:pt>
                <c:pt idx="1">
                  <c:v>Rénovations Minergie (y compris avec modèle de rénovation minergie)</c:v>
                </c:pt>
                <c:pt idx="2">
                  <c:v>Rénovation selon CECB A/B/C ou SNBS</c:v>
                </c:pt>
                <c:pt idx="3">
                  <c:v>Pas de rénovation (certificat Minergie existant)</c:v>
                </c:pt>
                <c:pt idx="4">
                  <c:v>Pas de rénovation (bâtiment dans l'inventaire de protection)</c:v>
                </c:pt>
                <c:pt idx="5">
                  <c:v>Pas de rénovation (aucune raison)</c:v>
                </c:pt>
              </c:strCache>
            </c:strRef>
          </c:cat>
          <c:val>
            <c:numRef>
              <c:extLst>
                <c:ext xmlns:c15="http://schemas.microsoft.com/office/drawing/2012/chart" uri="{02D57815-91ED-43cb-92C2-25804820EDAC}">
                  <c15:fullRef>
                    <c15:sqref>Uebersicht!$F$23:$F$29</c15:sqref>
                  </c15:fullRef>
                </c:ext>
              </c:extLst>
              <c:f>(Uebersicht!$F$23,Uebersicht!$F$25:$F$29)</c:f>
              <c:numCache>
                <c:formatCode>#,##0</c:formatCode>
                <c:ptCount val="6"/>
                <c:pt idx="0">
                  <c:v>0</c:v>
                </c:pt>
                <c:pt idx="1">
                  <c:v>0</c:v>
                </c:pt>
                <c:pt idx="2">
                  <c:v>0</c:v>
                </c:pt>
                <c:pt idx="3">
                  <c:v>0</c:v>
                </c:pt>
                <c:pt idx="4">
                  <c:v>0</c:v>
                </c:pt>
                <c:pt idx="5">
                  <c:v>0</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6772-4253-B9B5-0F235C080AE6}"/>
            </c:ext>
          </c:extLst>
        </c:ser>
        <c:dLbls>
          <c:showLegendKey val="0"/>
          <c:showVal val="0"/>
          <c:showCatName val="0"/>
          <c:showSerName val="0"/>
          <c:showPercent val="0"/>
          <c:showBubbleSize val="0"/>
          <c:showLeaderLines val="0"/>
        </c:dLbls>
        <c:firstSliceAng val="0"/>
      </c:pieChart>
      <c:spPr>
        <a:noFill/>
        <a:ln>
          <a:noFill/>
        </a:ln>
        <a:effectLst/>
      </c:spPr>
    </c:plotArea>
    <c:legend>
      <c:legendPos val="b"/>
      <c:layout>
        <c:manualLayout>
          <c:xMode val="edge"/>
          <c:yMode val="edge"/>
          <c:x val="1.5429924335090968E-2"/>
          <c:y val="0.61096750360218"/>
          <c:w val="0.98457007566490895"/>
          <c:h val="0.3703408984428083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178798</xdr:colOff>
      <xdr:row>1</xdr:row>
      <xdr:rowOff>164159</xdr:rowOff>
    </xdr:from>
    <xdr:to>
      <xdr:col>2</xdr:col>
      <xdr:colOff>488733</xdr:colOff>
      <xdr:row>1</xdr:row>
      <xdr:rowOff>492138</xdr:rowOff>
    </xdr:to>
    <xdr:pic>
      <xdr:nvPicPr>
        <xdr:cNvPr id="2" name="Grafik 1">
          <a:extLst>
            <a:ext uri="{FF2B5EF4-FFF2-40B4-BE49-F238E27FC236}">
              <a16:creationId xmlns:a16="http://schemas.microsoft.com/office/drawing/2014/main" id="{BD9200CD-8B0A-4E3C-A04F-A24E67FAD01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435973" y="316559"/>
          <a:ext cx="2367335" cy="327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238599</xdr:colOff>
      <xdr:row>1</xdr:row>
      <xdr:rowOff>77785</xdr:rowOff>
    </xdr:from>
    <xdr:to>
      <xdr:col>2</xdr:col>
      <xdr:colOff>2583024</xdr:colOff>
      <xdr:row>1</xdr:row>
      <xdr:rowOff>402590</xdr:rowOff>
    </xdr:to>
    <xdr:pic>
      <xdr:nvPicPr>
        <xdr:cNvPr id="2" name="Grafik 1">
          <a:extLst>
            <a:ext uri="{FF2B5EF4-FFF2-40B4-BE49-F238E27FC236}">
              <a16:creationId xmlns:a16="http://schemas.microsoft.com/office/drawing/2014/main" id="{1CC42523-2442-4296-A952-12A51B497B3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638649" y="230185"/>
          <a:ext cx="2344425" cy="3248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xdr:colOff>
      <xdr:row>20</xdr:row>
      <xdr:rowOff>57152</xdr:rowOff>
    </xdr:from>
    <xdr:to>
      <xdr:col>12</xdr:col>
      <xdr:colOff>538976</xdr:colOff>
      <xdr:row>42</xdr:row>
      <xdr:rowOff>247650</xdr:rowOff>
    </xdr:to>
    <xdr:graphicFrame macro="">
      <xdr:nvGraphicFramePr>
        <xdr:cNvPr id="3" name="Diagramm 2">
          <a:extLst>
            <a:ext uri="{FF2B5EF4-FFF2-40B4-BE49-F238E27FC236}">
              <a16:creationId xmlns:a16="http://schemas.microsoft.com/office/drawing/2014/main" id="{4F316A4B-5CAB-A39F-B705-E93A99DC0F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223271</xdr:colOff>
      <xdr:row>1</xdr:row>
      <xdr:rowOff>196850</xdr:rowOff>
    </xdr:from>
    <xdr:to>
      <xdr:col>1</xdr:col>
      <xdr:colOff>2636455</xdr:colOff>
      <xdr:row>1</xdr:row>
      <xdr:rowOff>531181</xdr:rowOff>
    </xdr:to>
    <xdr:pic>
      <xdr:nvPicPr>
        <xdr:cNvPr id="4" name="Grafik 3">
          <a:extLst>
            <a:ext uri="{FF2B5EF4-FFF2-40B4-BE49-F238E27FC236}">
              <a16:creationId xmlns:a16="http://schemas.microsoft.com/office/drawing/2014/main" id="{3B3CA2B2-6752-4807-A965-EA27487538B8}"/>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rcRect/>
        <a:stretch/>
      </xdr:blipFill>
      <xdr:spPr>
        <a:xfrm>
          <a:off x="499496" y="349250"/>
          <a:ext cx="2413184" cy="334331"/>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3AFB5-1408-410F-8032-0BAF5188ECCB}">
  <sheetPr>
    <pageSetUpPr fitToPage="1"/>
  </sheetPr>
  <dimension ref="B2:Z19"/>
  <sheetViews>
    <sheetView showGridLines="0" tabSelected="1" zoomScaleNormal="100" zoomScalePageLayoutView="70" workbookViewId="0">
      <selection activeCell="B10" sqref="B10:D16"/>
    </sheetView>
  </sheetViews>
  <sheetFormatPr baseColWidth="10" defaultColWidth="10.85546875" defaultRowHeight="12" outlineLevelCol="1" x14ac:dyDescent="0.2"/>
  <cols>
    <col min="1" max="1" width="3.85546875" style="1" customWidth="1"/>
    <col min="2" max="2" width="30.85546875" style="6" customWidth="1"/>
    <col min="3" max="3" width="11.85546875" style="1" customWidth="1"/>
    <col min="4" max="4" width="17.140625" style="3" customWidth="1"/>
    <col min="5" max="5" width="29.42578125" style="3" customWidth="1"/>
    <col min="6" max="6" width="24.140625" style="3" customWidth="1"/>
    <col min="7" max="7" width="21.85546875" style="3" customWidth="1"/>
    <col min="8" max="8" width="29.42578125" style="3" customWidth="1"/>
    <col min="9" max="12" width="28" style="3" hidden="1" customWidth="1" outlineLevel="1"/>
    <col min="13" max="13" width="28.5703125" style="3" customWidth="1" collapsed="1"/>
    <col min="14" max="14" width="28" style="3" hidden="1" customWidth="1" outlineLevel="1" collapsed="1"/>
    <col min="15" max="17" width="28" style="3" hidden="1" customWidth="1" outlineLevel="1"/>
    <col min="18" max="18" width="28" style="3" customWidth="1" collapsed="1"/>
    <col min="19" max="22" width="28" style="3" hidden="1" customWidth="1" outlineLevel="1"/>
    <col min="23" max="23" width="28" style="3" customWidth="1" collapsed="1"/>
    <col min="24" max="24" width="13.140625" style="3" customWidth="1"/>
    <col min="25" max="25" width="10.85546875" style="9" hidden="1" customWidth="1"/>
    <col min="26" max="26" width="25.140625" style="7" hidden="1" customWidth="1"/>
    <col min="27" max="16384" width="10.85546875" style="1"/>
  </cols>
  <sheetData>
    <row r="2" spans="2:7" ht="54" customHeight="1" x14ac:dyDescent="0.2">
      <c r="B2" s="11"/>
      <c r="C2" s="12"/>
      <c r="D2" s="315" t="str">
        <f>Uebersetzung!D6</f>
        <v>Instructions</v>
      </c>
      <c r="E2" s="413" t="str">
        <f>Uebersetzung!D4</f>
        <v>Outil d'aide pour les exigences A1.1, C1.1, C1.4 et C2.1</v>
      </c>
      <c r="F2" s="413"/>
      <c r="G2" s="13" t="str">
        <f>Uebersetzung!D11&amp;" "&amp;Uebersetzung!C2&amp;"."&amp;Uebersetzung!A2</f>
        <v>Version 2025.1</v>
      </c>
    </row>
    <row r="3" spans="2:7" ht="16.5" customHeight="1" x14ac:dyDescent="0.2">
      <c r="C3" s="5"/>
      <c r="D3" s="10"/>
      <c r="E3" s="10"/>
      <c r="G3" s="14"/>
    </row>
    <row r="4" spans="2:7" ht="22.5" customHeight="1" x14ac:dyDescent="0.2">
      <c r="B4" s="179" t="str">
        <f>Uebersetzung!D100</f>
        <v>Remarques sur l'outil d'aide</v>
      </c>
      <c r="C4" s="40"/>
      <c r="D4" s="41"/>
      <c r="E4" s="41"/>
      <c r="F4" s="38"/>
      <c r="G4" s="42"/>
    </row>
    <row r="5" spans="2:7" ht="120.75" customHeight="1" x14ac:dyDescent="0.2">
      <c r="B5" s="418" t="str">
        <f>Uebersetzung!D7</f>
        <v>Cet outil d'aide est nécessaire pour la justification du respect des exigences suivantes :
 - A1.1 Certification Minergie (-P/-A/-ECO) 
- C1.1 Énergie d'exploitation 
- C1.4 Utilisation de l'énergie solaire 
- C2.1 Émissions de gaz à effet de serre gris
La Plateforme-Label indique quels justificatifs complémentaires doivent être fournis.</v>
      </c>
      <c r="C5" s="419"/>
      <c r="D5" s="419"/>
      <c r="E5" s="419"/>
      <c r="F5" s="419"/>
      <c r="G5" s="420"/>
    </row>
    <row r="6" spans="2:7" x14ac:dyDescent="0.2">
      <c r="B6" s="183"/>
      <c r="C6" s="184"/>
      <c r="D6" s="184"/>
      <c r="E6" s="184"/>
      <c r="F6" s="184"/>
      <c r="G6" s="185"/>
    </row>
    <row r="7" spans="2:7" ht="22.5" customHeight="1" x14ac:dyDescent="0.2">
      <c r="B7" s="39" t="str">
        <f>Uebersetzung!D6</f>
        <v>Instructions</v>
      </c>
      <c r="C7" s="187"/>
      <c r="D7" s="187"/>
      <c r="E7" s="187"/>
      <c r="F7" s="187"/>
      <c r="G7" s="188"/>
    </row>
    <row r="8" spans="2:7" ht="4.3499999999999996" customHeight="1" x14ac:dyDescent="0.2">
      <c r="B8" s="186"/>
      <c r="C8" s="187"/>
      <c r="D8" s="187"/>
      <c r="E8" s="187"/>
      <c r="F8" s="187"/>
      <c r="G8" s="188"/>
    </row>
    <row r="9" spans="2:7" ht="22.5" customHeight="1" x14ac:dyDescent="0.2">
      <c r="B9" s="189" t="str">
        <f>Uebersetzung!D104</f>
        <v>Feuille de calcul "Entrée"</v>
      </c>
      <c r="C9" s="187"/>
      <c r="D9" s="187"/>
      <c r="E9" s="423"/>
      <c r="F9" s="423"/>
      <c r="G9" s="188"/>
    </row>
    <row r="10" spans="2:7" ht="20.85" customHeight="1" x14ac:dyDescent="0.2">
      <c r="B10" s="418" t="str">
        <f>Uebersetzung!D103</f>
        <v>Toutes les saisies s'effectuent sur la feuille de calcul "Saisie". Les champs de saisie sont marqués en couleur en fonction du type de saisie (voir à droite).
Les indications relatives à la compensation possible entre indicateurs (ligne 61 et suivantes) ne peuvent être remplies qu'une fois les justificatifs des bâtiments individuels disponibles et ne sont pas obligatoires dans la certification provisoire.</v>
      </c>
      <c r="C10" s="419"/>
      <c r="D10" s="419"/>
      <c r="E10" s="422" t="str">
        <f>Uebersetzung!$D$8</f>
        <v>Champ de saisie</v>
      </c>
      <c r="F10" s="422"/>
      <c r="G10" s="182"/>
    </row>
    <row r="11" spans="2:7" ht="4.5" customHeight="1" x14ac:dyDescent="0.2">
      <c r="B11" s="418"/>
      <c r="C11" s="419"/>
      <c r="D11" s="419"/>
      <c r="G11" s="188"/>
    </row>
    <row r="12" spans="2:7" ht="20.85" customHeight="1" x14ac:dyDescent="0.2">
      <c r="B12" s="418"/>
      <c r="C12" s="419"/>
      <c r="D12" s="419"/>
      <c r="E12" s="424" t="str">
        <f>Uebersetzung!D163</f>
        <v>Champ de saisie (facultatif)</v>
      </c>
      <c r="F12" s="424"/>
      <c r="G12" s="182"/>
    </row>
    <row r="13" spans="2:7" ht="4.5" customHeight="1" x14ac:dyDescent="0.2">
      <c r="B13" s="418"/>
      <c r="C13" s="419"/>
      <c r="D13" s="419"/>
      <c r="G13" s="188"/>
    </row>
    <row r="14" spans="2:7" ht="20.85" customHeight="1" x14ac:dyDescent="0.2">
      <c r="B14" s="418"/>
      <c r="C14" s="419"/>
      <c r="D14" s="419"/>
      <c r="E14" s="421" t="str">
        <f>Uebersetzung!$D$10</f>
        <v>Champ à sélectionner</v>
      </c>
      <c r="F14" s="421"/>
      <c r="G14" s="188"/>
    </row>
    <row r="15" spans="2:7" ht="6" customHeight="1" x14ac:dyDescent="0.2">
      <c r="B15" s="418"/>
      <c r="C15" s="419"/>
      <c r="D15" s="419"/>
      <c r="G15" s="188"/>
    </row>
    <row r="16" spans="2:7" ht="20.85" customHeight="1" x14ac:dyDescent="0.2">
      <c r="B16" s="418"/>
      <c r="C16" s="419"/>
      <c r="D16" s="419"/>
      <c r="E16" s="414" t="str">
        <f>Uebersetzung!$D$9</f>
        <v>Report du justificatif Minergie pour bâtiment</v>
      </c>
      <c r="F16" s="414"/>
      <c r="G16" s="188"/>
    </row>
    <row r="17" spans="2:7" ht="31.35" customHeight="1" x14ac:dyDescent="0.2">
      <c r="B17" s="180"/>
      <c r="C17" s="181"/>
      <c r="D17" s="181"/>
      <c r="E17" s="190"/>
      <c r="F17" s="190"/>
      <c r="G17" s="188"/>
    </row>
    <row r="18" spans="2:7" ht="22.5" customHeight="1" x14ac:dyDescent="0.2">
      <c r="B18" s="189" t="str">
        <f>Uebersetzung!D105</f>
        <v>Feuille de calcul "Aperçu"</v>
      </c>
      <c r="C18" s="187"/>
      <c r="D18" s="187"/>
      <c r="E18" s="187"/>
      <c r="F18" s="187"/>
      <c r="G18" s="188"/>
    </row>
    <row r="19" spans="2:7" ht="38.1" customHeight="1" x14ac:dyDescent="0.2">
      <c r="B19" s="415" t="str">
        <f>Uebersetzung!D106</f>
        <v>Tous les résultats sont disponibles sur la feuille "Aperçu". Pour la certification, la signature du management du quartier, respectivement du maître d'ouvrage, est nécessaire sur la feuille "Aperçu".</v>
      </c>
      <c r="C19" s="416"/>
      <c r="D19" s="416"/>
      <c r="E19" s="416"/>
      <c r="F19" s="416"/>
      <c r="G19" s="417"/>
    </row>
  </sheetData>
  <sheetProtection algorithmName="SHA-512" hashValue="5pqdMf4IZfz9vXUr/Bq8+iMg63P8wwrKH35IYlgEDmTmVV+TIDeU611djMoeUq81s4GH03pq6CBctifHPuGr2Q==" saltValue="TqtxU4duvFK3lEtHO0n4kQ==" spinCount="100000" sheet="1" formatColumns="0" selectLockedCells="1"/>
  <mergeCells count="9">
    <mergeCell ref="E2:F2"/>
    <mergeCell ref="E16:F16"/>
    <mergeCell ref="B19:G19"/>
    <mergeCell ref="B5:G5"/>
    <mergeCell ref="B10:D16"/>
    <mergeCell ref="E14:F14"/>
    <mergeCell ref="E10:F10"/>
    <mergeCell ref="E9:F9"/>
    <mergeCell ref="E12:F12"/>
  </mergeCells>
  <pageMargins left="0.70866141732283472" right="0.70866141732283472" top="0.78740157480314965" bottom="0.78740157480314965"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A48E8-D89E-4C01-A688-528E1F49DD52}">
  <sheetPr>
    <pageSetUpPr fitToPage="1"/>
  </sheetPr>
  <dimension ref="B1:AJ154"/>
  <sheetViews>
    <sheetView showGridLines="0" zoomScaleNormal="100" zoomScaleSheetLayoutView="40" zoomScalePageLayoutView="40" workbookViewId="0">
      <pane xSplit="4" ySplit="10" topLeftCell="E11" activePane="bottomRight" state="frozen"/>
      <selection activeCell="B10" sqref="B10:D16"/>
      <selection pane="topRight" activeCell="B10" sqref="B10:D16"/>
      <selection pane="bottomLeft" activeCell="B10" sqref="B10:D16"/>
      <selection pane="bottomRight" activeCell="E19" sqref="E19"/>
    </sheetView>
  </sheetViews>
  <sheetFormatPr baseColWidth="10" defaultColWidth="10.85546875" defaultRowHeight="12" outlineLevelCol="1" x14ac:dyDescent="0.2"/>
  <cols>
    <col min="1" max="1" width="2.140625" style="121" customWidth="1"/>
    <col min="2" max="2" width="3.85546875" style="121" customWidth="1"/>
    <col min="3" max="3" width="52.85546875" style="120" customWidth="1"/>
    <col min="4" max="4" width="9.140625" style="121" customWidth="1"/>
    <col min="5" max="9" width="29.42578125" style="122" customWidth="1"/>
    <col min="10" max="13" width="28" style="122" customWidth="1"/>
    <col min="14" max="14" width="28.5703125" style="122" customWidth="1"/>
    <col min="15" max="15" width="28" style="122" hidden="1" customWidth="1" outlineLevel="1" collapsed="1"/>
    <col min="16" max="18" width="28" style="122" hidden="1" customWidth="1" outlineLevel="1"/>
    <col min="19" max="19" width="28" style="122" customWidth="1" collapsed="1"/>
    <col min="20" max="23" width="28" style="122" hidden="1" customWidth="1" outlineLevel="1"/>
    <col min="24" max="24" width="28" style="122" customWidth="1" collapsed="1"/>
    <col min="25" max="25" width="13.140625" style="122" hidden="1" customWidth="1"/>
    <col min="26" max="26" width="10.85546875" style="127" hidden="1" customWidth="1"/>
    <col min="27" max="27" width="25.140625" style="79" hidden="1" customWidth="1"/>
    <col min="28" max="28" width="10.85546875" style="121" hidden="1" customWidth="1"/>
    <col min="29" max="29" width="0" style="121" hidden="1" customWidth="1"/>
    <col min="30" max="16384" width="10.85546875" style="121"/>
  </cols>
  <sheetData>
    <row r="1" spans="3:36" s="1" customFormat="1" x14ac:dyDescent="0.2">
      <c r="C1" s="6"/>
      <c r="E1" s="3"/>
      <c r="F1" s="3"/>
      <c r="G1" s="3"/>
      <c r="H1" s="3"/>
      <c r="I1" s="3"/>
      <c r="J1" s="3"/>
      <c r="K1" s="3"/>
      <c r="L1" s="3"/>
      <c r="M1" s="3"/>
      <c r="N1" s="3"/>
      <c r="O1" s="3"/>
      <c r="P1" s="3"/>
      <c r="Q1" s="3"/>
      <c r="R1" s="3"/>
      <c r="S1" s="3"/>
      <c r="T1" s="3"/>
      <c r="U1" s="3"/>
      <c r="V1" s="3"/>
      <c r="W1" s="3"/>
      <c r="X1" s="3"/>
      <c r="Y1" s="3"/>
      <c r="Z1" s="9"/>
      <c r="AA1" s="7"/>
    </row>
    <row r="2" spans="3:36" s="1" customFormat="1" ht="37.5" customHeight="1" x14ac:dyDescent="0.2">
      <c r="C2" s="11"/>
      <c r="D2" s="12"/>
      <c r="E2" s="315" t="str">
        <f>Uebersetzung!D131</f>
        <v>Entrée</v>
      </c>
      <c r="F2" s="428" t="str">
        <f>Uebersetzung!D4</f>
        <v>Outil d'aide pour les exigences A1.1, C1.1, C1.4 et C2.1</v>
      </c>
      <c r="G2" s="428"/>
      <c r="H2" s="285" t="str">
        <f>Uebersetzung!D11&amp;" "&amp;Uebersetzung!C2&amp;"."&amp;Uebersetzung!A2</f>
        <v>Version 2025.1</v>
      </c>
      <c r="I2" s="129"/>
      <c r="J2" s="129"/>
      <c r="K2" s="129"/>
      <c r="L2" s="129"/>
      <c r="M2" s="129"/>
      <c r="N2" s="129"/>
      <c r="O2" s="129"/>
      <c r="P2" s="129"/>
      <c r="Q2" s="129"/>
      <c r="R2" s="129"/>
      <c r="S2" s="129"/>
      <c r="T2" s="129"/>
      <c r="U2" s="129"/>
      <c r="V2" s="129"/>
      <c r="W2" s="129"/>
      <c r="X2" s="130"/>
      <c r="Y2" s="3"/>
      <c r="Z2" s="9"/>
      <c r="AA2" s="7"/>
    </row>
    <row r="3" spans="3:36" s="1" customFormat="1" ht="11.45" customHeight="1" x14ac:dyDescent="0.2">
      <c r="C3" s="6"/>
      <c r="D3" s="5"/>
      <c r="E3" s="131"/>
      <c r="F3" s="131"/>
      <c r="G3" s="132"/>
      <c r="H3" s="14"/>
      <c r="I3" s="3"/>
      <c r="J3" s="3"/>
      <c r="K3" s="3"/>
      <c r="L3" s="3"/>
      <c r="M3" s="3"/>
      <c r="N3" s="3"/>
      <c r="O3" s="3"/>
      <c r="P3" s="3"/>
      <c r="Q3" s="3"/>
      <c r="R3" s="3"/>
      <c r="S3" s="3"/>
      <c r="T3" s="3"/>
      <c r="U3" s="3"/>
      <c r="V3" s="3"/>
      <c r="W3" s="3"/>
      <c r="X3" s="3"/>
      <c r="Y3" s="3"/>
      <c r="Z3" s="9"/>
      <c r="AA3" s="7"/>
    </row>
    <row r="4" spans="3:36" s="1" customFormat="1" ht="15" customHeight="1" x14ac:dyDescent="0.2">
      <c r="C4" s="191" t="str">
        <f>Uebersetzung!D196</f>
        <v>Nom du quartier</v>
      </c>
      <c r="D4" s="5"/>
      <c r="E4" s="49" t="str">
        <f>Uebersetzung!$D$10</f>
        <v>Champ à sélectionner</v>
      </c>
      <c r="F4" s="50" t="str">
        <f>Uebersetzung!$D$8</f>
        <v>Champ de saisie</v>
      </c>
      <c r="G4" s="141" t="str">
        <f>Uebersetzung!D163</f>
        <v>Champ de saisie (facultatif)</v>
      </c>
      <c r="H4" s="48" t="str">
        <f>Uebersetzung!$D$9</f>
        <v>Report du justificatif Minergie pour bâtiment</v>
      </c>
      <c r="I4" s="3"/>
      <c r="J4" s="3"/>
      <c r="K4" s="3"/>
      <c r="L4" s="3"/>
      <c r="M4" s="3"/>
      <c r="N4" s="3"/>
      <c r="O4" s="3"/>
      <c r="P4" s="3"/>
      <c r="Q4" s="3"/>
      <c r="R4" s="3"/>
      <c r="S4" s="3"/>
      <c r="T4" s="3"/>
      <c r="U4" s="3"/>
      <c r="V4" s="3"/>
      <c r="W4" s="3"/>
      <c r="X4" s="3"/>
      <c r="Y4" s="3"/>
      <c r="Z4" s="9"/>
      <c r="AA4" s="7"/>
    </row>
    <row r="5" spans="3:36" s="134" customFormat="1" ht="18" customHeight="1" x14ac:dyDescent="0.2">
      <c r="C5" s="335"/>
      <c r="D5" s="133"/>
      <c r="F5" s="115"/>
      <c r="I5" s="115"/>
      <c r="J5" s="77"/>
      <c r="K5" s="135"/>
      <c r="L5" s="115"/>
      <c r="M5" s="136"/>
      <c r="N5" s="136"/>
      <c r="O5" s="136"/>
      <c r="P5" s="136"/>
      <c r="Q5" s="136"/>
      <c r="R5" s="136"/>
      <c r="S5" s="311" t="str">
        <f>Uebersetzung!D125</f>
        <v>Insérer d'autres bâtiments avec le + dans l'intitulé de la colonne</v>
      </c>
      <c r="T5" s="136"/>
      <c r="U5" s="136"/>
      <c r="V5" s="136"/>
      <c r="W5" s="136"/>
      <c r="X5" s="137"/>
      <c r="Y5" s="121"/>
      <c r="Z5" s="138"/>
      <c r="AA5" s="139"/>
      <c r="AB5" s="140"/>
      <c r="AC5" s="140"/>
      <c r="AD5" s="140"/>
      <c r="AE5" s="140"/>
      <c r="AF5" s="140"/>
      <c r="AG5" s="140"/>
      <c r="AH5" s="140"/>
      <c r="AI5" s="140"/>
      <c r="AJ5" s="140"/>
    </row>
    <row r="6" spans="3:36" s="135" customFormat="1" ht="13.35" hidden="1" customHeight="1" x14ac:dyDescent="0.2">
      <c r="D6" s="142"/>
      <c r="E6" s="176">
        <v>1</v>
      </c>
      <c r="F6" s="176">
        <v>2</v>
      </c>
      <c r="G6" s="176">
        <v>3</v>
      </c>
      <c r="H6" s="176">
        <v>4</v>
      </c>
      <c r="I6" s="176">
        <v>5</v>
      </c>
      <c r="J6" s="176">
        <v>6</v>
      </c>
      <c r="K6" s="176">
        <v>7</v>
      </c>
      <c r="L6" s="176">
        <v>8</v>
      </c>
      <c r="M6" s="176">
        <v>9</v>
      </c>
      <c r="N6" s="176">
        <v>10</v>
      </c>
      <c r="O6" s="176">
        <v>11</v>
      </c>
      <c r="P6" s="176">
        <v>12</v>
      </c>
      <c r="Q6" s="176">
        <v>13</v>
      </c>
      <c r="R6" s="176">
        <v>14</v>
      </c>
      <c r="S6" s="176">
        <v>15</v>
      </c>
      <c r="T6" s="176">
        <v>16</v>
      </c>
      <c r="U6" s="176">
        <v>17</v>
      </c>
      <c r="V6" s="176">
        <v>18</v>
      </c>
      <c r="W6" s="176">
        <v>19</v>
      </c>
      <c r="X6" s="176">
        <v>20</v>
      </c>
      <c r="Y6" s="121"/>
      <c r="Z6" s="143"/>
      <c r="AA6" s="79"/>
      <c r="AB6" s="121"/>
      <c r="AC6" s="121"/>
      <c r="AD6" s="121"/>
      <c r="AE6" s="121"/>
      <c r="AF6" s="121"/>
      <c r="AG6" s="121"/>
      <c r="AH6" s="121"/>
      <c r="AI6" s="121"/>
      <c r="AJ6" s="121"/>
    </row>
    <row r="7" spans="3:36" s="1" customFormat="1" ht="15" hidden="1" customHeight="1" x14ac:dyDescent="0.2">
      <c r="E7" s="3"/>
      <c r="F7" s="3"/>
      <c r="G7" s="3"/>
      <c r="H7" s="3"/>
      <c r="I7" s="3"/>
      <c r="J7" s="3"/>
      <c r="K7" s="3"/>
      <c r="L7" s="3"/>
      <c r="M7" s="3"/>
      <c r="N7" s="8" t="str">
        <f>Uebersetzung!D125</f>
        <v>Insérer d'autres bâtiments avec le + dans l'intitulé de la colonne</v>
      </c>
      <c r="O7" s="3"/>
      <c r="P7" s="3"/>
      <c r="Q7" s="3"/>
      <c r="R7" s="3"/>
      <c r="S7" s="144"/>
      <c r="T7" s="8"/>
      <c r="U7" s="8"/>
      <c r="V7" s="8"/>
      <c r="W7" s="8"/>
      <c r="X7" s="144"/>
      <c r="Y7" s="3"/>
      <c r="Z7" s="9"/>
      <c r="AA7" s="7"/>
    </row>
    <row r="8" spans="3:36" s="2" customFormat="1" ht="17.45" customHeight="1" x14ac:dyDescent="0.25">
      <c r="C8" s="5"/>
      <c r="E8" s="145" t="str">
        <f>Uebersetzung!$D$13&amp;" "&amp;E6</f>
        <v>Bâtiment 1</v>
      </c>
      <c r="F8" s="146" t="str">
        <f>Uebersetzung!$D$13&amp;" "&amp;F6</f>
        <v>Bâtiment 2</v>
      </c>
      <c r="G8" s="146" t="str">
        <f>Uebersetzung!$D$13&amp;" "&amp;G6</f>
        <v>Bâtiment 3</v>
      </c>
      <c r="H8" s="146" t="str">
        <f>Uebersetzung!$D$13&amp;" "&amp;H6</f>
        <v>Bâtiment 4</v>
      </c>
      <c r="I8" s="146" t="str">
        <f>Uebersetzung!$D$13&amp;" "&amp;I6</f>
        <v>Bâtiment 5</v>
      </c>
      <c r="J8" s="146" t="str">
        <f>Uebersetzung!$D$13&amp;" "&amp;J6</f>
        <v>Bâtiment 6</v>
      </c>
      <c r="K8" s="146" t="str">
        <f>Uebersetzung!$D$13&amp;" "&amp;K6</f>
        <v>Bâtiment 7</v>
      </c>
      <c r="L8" s="146" t="str">
        <f>Uebersetzung!$D$13&amp;" "&amp;L6</f>
        <v>Bâtiment 8</v>
      </c>
      <c r="M8" s="146" t="str">
        <f>Uebersetzung!$D$13&amp;" "&amp;M6</f>
        <v>Bâtiment 9</v>
      </c>
      <c r="N8" s="146" t="str">
        <f>Uebersetzung!$D$13&amp;" "&amp;N6</f>
        <v>Bâtiment 10</v>
      </c>
      <c r="O8" s="146" t="str">
        <f ca="1">IF(CELL("Breite",K1)=0,Uebersetzung!$D$71&amp;" "&amp;Uebersetzung!$D$13,Uebersetzung!$D$13&amp;" "&amp;O6)</f>
        <v>Bâtiment 11</v>
      </c>
      <c r="P8" s="146" t="str">
        <f ca="1">IF(CELL("Breite",L1)=0,Uebersetzung!$D$71&amp;" "&amp;Uebersetzung!$D$13,Uebersetzung!$D$13&amp;" "&amp;P6)</f>
        <v>Bâtiment 12</v>
      </c>
      <c r="Q8" s="146" t="str">
        <f ca="1">IF(CELL("Breite",M1)=0,Uebersetzung!$D$71&amp;" "&amp;Uebersetzung!$D$13,Uebersetzung!$D$13&amp;" "&amp;Q6)</f>
        <v>Bâtiment 13</v>
      </c>
      <c r="R8" s="146" t="str">
        <f ca="1">IF(CELL("Breite",N1)=0,Uebersetzung!$D$71&amp;" "&amp;Uebersetzung!$D$13,Uebersetzung!$D$13&amp;" "&amp;R6)</f>
        <v>Bâtiment 14</v>
      </c>
      <c r="S8" s="146" t="str">
        <f ca="1">IF(CELL("Breite",O1)=0,Uebersetzung!$D$71&amp;" "&amp;Uebersetzung!$D$13,Uebersetzung!$D$13&amp;" "&amp;S6)</f>
        <v>Autres Bâtiment</v>
      </c>
      <c r="T8" s="177" t="str">
        <f>Uebersetzung!$D$13&amp;" "&amp;T6</f>
        <v>Bâtiment 16</v>
      </c>
      <c r="U8" s="177" t="str">
        <f>Uebersetzung!$D$13&amp;" "&amp;U6</f>
        <v>Bâtiment 17</v>
      </c>
      <c r="V8" s="177" t="str">
        <f>Uebersetzung!$D$13&amp;" "&amp;V6</f>
        <v>Bâtiment 18</v>
      </c>
      <c r="W8" s="177" t="str">
        <f>Uebersetzung!$D$13&amp;" "&amp;W6</f>
        <v>Bâtiment 19</v>
      </c>
      <c r="X8" s="178" t="str">
        <f ca="1">IF(CELL("Breite",W1)=0,Uebersetzung!D71&amp;" "&amp;Uebersetzung!D42,Uebersetzung!$D$13&amp;" "&amp;X6)</f>
        <v>Autres Emissions grises de tous les nouveaux bâts. du quartier</v>
      </c>
      <c r="Y8" s="10"/>
      <c r="Z8" s="132"/>
      <c r="AA8" s="5"/>
    </row>
    <row r="9" spans="3:36" s="150" customFormat="1" x14ac:dyDescent="0.2">
      <c r="C9" s="51" t="str">
        <f>Uebersetzung!D14</f>
        <v>Informations sur les bâtiments</v>
      </c>
      <c r="D9" s="52"/>
      <c r="E9" s="147"/>
      <c r="F9" s="147"/>
      <c r="G9" s="147"/>
      <c r="H9" s="147"/>
      <c r="I9" s="147"/>
      <c r="J9" s="147"/>
      <c r="K9" s="147"/>
      <c r="L9" s="147"/>
      <c r="M9" s="147"/>
      <c r="N9" s="147"/>
      <c r="O9" s="147"/>
      <c r="P9" s="147"/>
      <c r="Q9" s="147"/>
      <c r="R9" s="147"/>
      <c r="S9" s="147"/>
      <c r="T9" s="147"/>
      <c r="U9" s="147"/>
      <c r="V9" s="147"/>
      <c r="W9" s="147"/>
      <c r="X9" s="147"/>
      <c r="Y9" s="148"/>
      <c r="Z9" s="149"/>
      <c r="AA9" s="7"/>
    </row>
    <row r="10" spans="3:36" s="4" customFormat="1" ht="18.75" customHeight="1" x14ac:dyDescent="0.25">
      <c r="C10" s="16" t="str">
        <f>Uebersetzung!D15</f>
        <v>Désignation du bâtiment</v>
      </c>
      <c r="D10" s="54"/>
      <c r="E10" s="43"/>
      <c r="F10" s="43"/>
      <c r="G10" s="43"/>
      <c r="H10" s="43"/>
      <c r="I10" s="43"/>
      <c r="J10" s="43"/>
      <c r="K10" s="43"/>
      <c r="L10" s="43"/>
      <c r="M10" s="43"/>
      <c r="N10" s="43"/>
      <c r="O10" s="43"/>
      <c r="P10" s="43"/>
      <c r="Q10" s="43"/>
      <c r="R10" s="43"/>
      <c r="S10" s="43"/>
      <c r="T10" s="43"/>
      <c r="U10" s="43"/>
      <c r="V10" s="43"/>
      <c r="W10" s="43"/>
      <c r="X10" s="386"/>
      <c r="Y10" s="8"/>
      <c r="Z10" s="9"/>
      <c r="AA10" s="7"/>
    </row>
    <row r="11" spans="3:36" s="4" customFormat="1" ht="18.75" customHeight="1" x14ac:dyDescent="0.25">
      <c r="C11" s="47" t="str">
        <f>Uebersetzung!D130</f>
        <v>ID du bâtiment selon la Plateforme-Label</v>
      </c>
      <c r="D11" s="59"/>
      <c r="E11" s="337"/>
      <c r="F11" s="337"/>
      <c r="G11" s="337"/>
      <c r="H11" s="337"/>
      <c r="I11" s="337"/>
      <c r="J11" s="337"/>
      <c r="K11" s="337"/>
      <c r="L11" s="337"/>
      <c r="M11" s="337"/>
      <c r="N11" s="337"/>
      <c r="O11" s="337"/>
      <c r="P11" s="337"/>
      <c r="Q11" s="337"/>
      <c r="R11" s="337"/>
      <c r="S11" s="337"/>
      <c r="T11" s="337"/>
      <c r="U11" s="337"/>
      <c r="V11" s="337"/>
      <c r="W11" s="337"/>
      <c r="X11" s="387"/>
      <c r="Y11" s="8"/>
      <c r="Z11" s="9"/>
      <c r="AA11" s="7"/>
    </row>
    <row r="12" spans="3:36" s="4" customFormat="1" ht="18.75" customHeight="1" x14ac:dyDescent="0.25">
      <c r="C12" s="47" t="str">
        <f>Uebersetzung!D112</f>
        <v>Surface de plancher</v>
      </c>
      <c r="D12" s="59" t="s">
        <v>4</v>
      </c>
      <c r="E12" s="44"/>
      <c r="F12" s="44"/>
      <c r="G12" s="44"/>
      <c r="H12" s="44"/>
      <c r="I12" s="44"/>
      <c r="J12" s="44"/>
      <c r="K12" s="44"/>
      <c r="L12" s="44"/>
      <c r="M12" s="44"/>
      <c r="N12" s="44"/>
      <c r="O12" s="44"/>
      <c r="P12" s="44"/>
      <c r="Q12" s="44"/>
      <c r="R12" s="44"/>
      <c r="S12" s="44"/>
      <c r="T12" s="44"/>
      <c r="U12" s="44"/>
      <c r="V12" s="44"/>
      <c r="W12" s="44"/>
      <c r="X12" s="388"/>
      <c r="Y12" s="8"/>
      <c r="Z12" s="9"/>
      <c r="AA12" s="7"/>
    </row>
    <row r="13" spans="3:36" s="4" customFormat="1" ht="18.75" customHeight="1" x14ac:dyDescent="0.25">
      <c r="C13" s="47" t="str">
        <f>Uebersetzung!$D$17&amp;" "&amp;Uebersetzung!D164</f>
        <v>Surface de référence énergétique SRE Valeur par défaut</v>
      </c>
      <c r="D13" s="59" t="s">
        <v>4</v>
      </c>
      <c r="E13" s="126">
        <f t="shared" ref="E13:X13" si="0">IF(E12=0,0,E12*80%)</f>
        <v>0</v>
      </c>
      <c r="F13" s="126">
        <f t="shared" si="0"/>
        <v>0</v>
      </c>
      <c r="G13" s="126">
        <f t="shared" si="0"/>
        <v>0</v>
      </c>
      <c r="H13" s="126">
        <f t="shared" si="0"/>
        <v>0</v>
      </c>
      <c r="I13" s="126">
        <f t="shared" si="0"/>
        <v>0</v>
      </c>
      <c r="J13" s="126">
        <f t="shared" si="0"/>
        <v>0</v>
      </c>
      <c r="K13" s="126">
        <f t="shared" si="0"/>
        <v>0</v>
      </c>
      <c r="L13" s="126">
        <f t="shared" si="0"/>
        <v>0</v>
      </c>
      <c r="M13" s="126">
        <f t="shared" si="0"/>
        <v>0</v>
      </c>
      <c r="N13" s="126">
        <f t="shared" si="0"/>
        <v>0</v>
      </c>
      <c r="O13" s="126">
        <f t="shared" si="0"/>
        <v>0</v>
      </c>
      <c r="P13" s="126">
        <f t="shared" si="0"/>
        <v>0</v>
      </c>
      <c r="Q13" s="126">
        <f t="shared" si="0"/>
        <v>0</v>
      </c>
      <c r="R13" s="126">
        <f t="shared" si="0"/>
        <v>0</v>
      </c>
      <c r="S13" s="126">
        <f t="shared" si="0"/>
        <v>0</v>
      </c>
      <c r="T13" s="126">
        <f t="shared" si="0"/>
        <v>0</v>
      </c>
      <c r="U13" s="126">
        <f t="shared" si="0"/>
        <v>0</v>
      </c>
      <c r="V13" s="126">
        <f t="shared" si="0"/>
        <v>0</v>
      </c>
      <c r="W13" s="126">
        <f t="shared" si="0"/>
        <v>0</v>
      </c>
      <c r="X13" s="389">
        <f t="shared" si="0"/>
        <v>0</v>
      </c>
      <c r="Y13" s="148"/>
      <c r="Z13" s="149"/>
      <c r="AA13" s="7"/>
    </row>
    <row r="14" spans="3:36" s="4" customFormat="1" ht="18.75" customHeight="1" x14ac:dyDescent="0.25">
      <c r="C14" s="47" t="str">
        <f>Uebersetzung!$D$17&amp;" "&amp;Uebersetzung!D165</f>
        <v>Surface de référence énergétique SRE Remplacer la valeur par défaut</v>
      </c>
      <c r="D14" s="59" t="s">
        <v>4</v>
      </c>
      <c r="E14" s="44"/>
      <c r="F14" s="44"/>
      <c r="G14" s="44"/>
      <c r="H14" s="44"/>
      <c r="I14" s="44"/>
      <c r="J14" s="44"/>
      <c r="K14" s="44"/>
      <c r="L14" s="44"/>
      <c r="M14" s="44"/>
      <c r="N14" s="44"/>
      <c r="O14" s="44"/>
      <c r="P14" s="44"/>
      <c r="Q14" s="44"/>
      <c r="R14" s="44"/>
      <c r="S14" s="44"/>
      <c r="T14" s="44"/>
      <c r="U14" s="44"/>
      <c r="V14" s="44"/>
      <c r="W14" s="44"/>
      <c r="X14" s="388"/>
      <c r="Y14" s="8"/>
      <c r="Z14" s="9"/>
      <c r="AA14" s="7"/>
    </row>
    <row r="15" spans="3:36" s="4" customFormat="1" ht="18.75" hidden="1" customHeight="1" x14ac:dyDescent="0.25">
      <c r="C15" s="47" t="str">
        <f>Uebersetzung!D185</f>
        <v>Surface de référence énergétique SRE pour le calcul</v>
      </c>
      <c r="D15" s="59" t="s">
        <v>4</v>
      </c>
      <c r="E15" s="126">
        <f t="shared" ref="E15:X15" si="1">IF(ISBLANK(E14),E13,E14)</f>
        <v>0</v>
      </c>
      <c r="F15" s="126">
        <f t="shared" si="1"/>
        <v>0</v>
      </c>
      <c r="G15" s="126">
        <f t="shared" si="1"/>
        <v>0</v>
      </c>
      <c r="H15" s="126">
        <f t="shared" si="1"/>
        <v>0</v>
      </c>
      <c r="I15" s="126">
        <f t="shared" si="1"/>
        <v>0</v>
      </c>
      <c r="J15" s="126">
        <f t="shared" si="1"/>
        <v>0</v>
      </c>
      <c r="K15" s="126">
        <f t="shared" si="1"/>
        <v>0</v>
      </c>
      <c r="L15" s="126">
        <f t="shared" si="1"/>
        <v>0</v>
      </c>
      <c r="M15" s="126">
        <f t="shared" si="1"/>
        <v>0</v>
      </c>
      <c r="N15" s="126">
        <f t="shared" si="1"/>
        <v>0</v>
      </c>
      <c r="O15" s="126">
        <f t="shared" si="1"/>
        <v>0</v>
      </c>
      <c r="P15" s="126">
        <f t="shared" si="1"/>
        <v>0</v>
      </c>
      <c r="Q15" s="126">
        <f t="shared" si="1"/>
        <v>0</v>
      </c>
      <c r="R15" s="126">
        <f t="shared" si="1"/>
        <v>0</v>
      </c>
      <c r="S15" s="126">
        <f t="shared" si="1"/>
        <v>0</v>
      </c>
      <c r="T15" s="126">
        <f t="shared" si="1"/>
        <v>0</v>
      </c>
      <c r="U15" s="126">
        <f t="shared" si="1"/>
        <v>0</v>
      </c>
      <c r="V15" s="126">
        <f t="shared" si="1"/>
        <v>0</v>
      </c>
      <c r="W15" s="126">
        <f t="shared" si="1"/>
        <v>0</v>
      </c>
      <c r="X15" s="389">
        <f t="shared" si="1"/>
        <v>0</v>
      </c>
      <c r="Y15" s="8"/>
      <c r="Z15" s="149"/>
      <c r="AA15" s="7"/>
    </row>
    <row r="16" spans="3:36" s="4" customFormat="1" ht="18.75" customHeight="1" x14ac:dyDescent="0.25">
      <c r="C16" s="47" t="str">
        <f>Uebersetzung!D199</f>
        <v>Nouvelle construction ou bâtiment existant</v>
      </c>
      <c r="D16" s="355"/>
      <c r="E16" s="44"/>
      <c r="F16" s="44"/>
      <c r="G16" s="44"/>
      <c r="H16" s="44"/>
      <c r="I16" s="44"/>
      <c r="J16" s="44"/>
      <c r="K16" s="44"/>
      <c r="L16" s="44"/>
      <c r="M16" s="44"/>
      <c r="N16" s="44"/>
      <c r="O16" s="44"/>
      <c r="P16" s="44"/>
      <c r="Q16" s="44"/>
      <c r="R16" s="44"/>
      <c r="S16" s="44"/>
      <c r="T16" s="44"/>
      <c r="U16" s="44"/>
      <c r="V16" s="44"/>
      <c r="W16" s="44"/>
      <c r="X16" s="388"/>
      <c r="Y16" s="8"/>
      <c r="Z16" s="9"/>
      <c r="AA16" s="7"/>
    </row>
    <row r="17" spans="2:27" s="342" customFormat="1" ht="24.75" customHeight="1" x14ac:dyDescent="0.25">
      <c r="C17" s="286" t="str">
        <f>Uebersetzung!$D$18</f>
        <v>Type de rénovation de l'enveloppe du bâtiment</v>
      </c>
      <c r="D17" s="341"/>
      <c r="E17" s="338"/>
      <c r="F17" s="338"/>
      <c r="G17" s="338"/>
      <c r="H17" s="338"/>
      <c r="I17" s="338"/>
      <c r="J17" s="338"/>
      <c r="K17" s="338"/>
      <c r="L17" s="338"/>
      <c r="M17" s="338"/>
      <c r="N17" s="338"/>
      <c r="O17" s="338"/>
      <c r="P17" s="338"/>
      <c r="Q17" s="338"/>
      <c r="R17" s="338"/>
      <c r="S17" s="338"/>
      <c r="T17" s="338"/>
      <c r="U17" s="338"/>
      <c r="V17" s="338"/>
      <c r="W17" s="338"/>
      <c r="X17" s="390"/>
      <c r="Y17" s="261"/>
      <c r="Z17" s="149"/>
      <c r="AA17" s="7"/>
    </row>
    <row r="18" spans="2:27" s="353" customFormat="1" ht="24.75" hidden="1" customHeight="1" x14ac:dyDescent="0.25">
      <c r="C18" s="354" t="str">
        <f>Uebersetzung!D202</f>
        <v>Projet de construction</v>
      </c>
      <c r="E18" s="357">
        <f>IF(E16=Neubau,Eingabe!E16,E17)</f>
        <v>0</v>
      </c>
      <c r="F18" s="357">
        <f>IF(F16=Neubau,Eingabe!F16,F17)</f>
        <v>0</v>
      </c>
      <c r="G18" s="357">
        <f>IF(G16=Neubau,Eingabe!G16,G17)</f>
        <v>0</v>
      </c>
      <c r="H18" s="357">
        <f>IF(H16=Neubau,Eingabe!H16,H17)</f>
        <v>0</v>
      </c>
      <c r="I18" s="357">
        <f>IF(I16=Neubau,Eingabe!I16,I17)</f>
        <v>0</v>
      </c>
      <c r="J18" s="357">
        <f>IF(J16=Neubau,Eingabe!J16,J17)</f>
        <v>0</v>
      </c>
      <c r="K18" s="357">
        <f>IF(K16=Neubau,Eingabe!K16,K17)</f>
        <v>0</v>
      </c>
      <c r="L18" s="357">
        <f>IF(L16=Neubau,Eingabe!L16,L17)</f>
        <v>0</v>
      </c>
      <c r="M18" s="357">
        <f>IF(M16=Neubau,Eingabe!M16,M17)</f>
        <v>0</v>
      </c>
      <c r="N18" s="357">
        <f>IF(N16=Neubau,Eingabe!N16,N17)</f>
        <v>0</v>
      </c>
      <c r="O18" s="357">
        <f>IF(O16=Neubau,Eingabe!O16,O17)</f>
        <v>0</v>
      </c>
      <c r="P18" s="357">
        <f>IF(P16=Neubau,Eingabe!P16,P17)</f>
        <v>0</v>
      </c>
      <c r="Q18" s="357">
        <f>IF(Q16=Neubau,Eingabe!Q16,Q17)</f>
        <v>0</v>
      </c>
      <c r="R18" s="357">
        <f>IF(R16=Neubau,Eingabe!R16,R17)</f>
        <v>0</v>
      </c>
      <c r="S18" s="357">
        <f>IF(S16=Neubau,Eingabe!S16,S17)</f>
        <v>0</v>
      </c>
      <c r="T18" s="357">
        <f>IF(T16=Neubau,Eingabe!T16,T17)</f>
        <v>0</v>
      </c>
      <c r="U18" s="357">
        <f>IF(U16=Neubau,Eingabe!U16,U17)</f>
        <v>0</v>
      </c>
      <c r="V18" s="357">
        <f>IF(V16=Neubau,Eingabe!V16,V17)</f>
        <v>0</v>
      </c>
      <c r="W18" s="357">
        <f>IF(W16=Neubau,Eingabe!W16,W17)</f>
        <v>0</v>
      </c>
      <c r="X18" s="391">
        <f>IF(X16=Neubau,Eingabe!X16,X17)</f>
        <v>0</v>
      </c>
      <c r="Y18" s="356"/>
      <c r="Z18" s="9"/>
      <c r="AA18" s="7"/>
    </row>
    <row r="19" spans="2:27" s="4" customFormat="1" ht="18.75" customHeight="1" x14ac:dyDescent="0.25">
      <c r="C19" s="47" t="str">
        <f>Uebersetzung!D147</f>
        <v>Numéro de certificat</v>
      </c>
      <c r="D19" s="59"/>
      <c r="E19" s="324"/>
      <c r="F19" s="324"/>
      <c r="G19" s="324"/>
      <c r="H19" s="324"/>
      <c r="I19" s="324"/>
      <c r="J19" s="324"/>
      <c r="K19" s="324"/>
      <c r="L19" s="324"/>
      <c r="M19" s="324"/>
      <c r="N19" s="324"/>
      <c r="O19" s="324"/>
      <c r="P19" s="324"/>
      <c r="Q19" s="324"/>
      <c r="R19" s="324"/>
      <c r="S19" s="324"/>
      <c r="T19" s="324"/>
      <c r="U19" s="324"/>
      <c r="V19" s="324"/>
      <c r="W19" s="324"/>
      <c r="X19" s="392"/>
      <c r="Y19" s="7"/>
      <c r="Z19" s="149"/>
      <c r="AA19" s="7"/>
    </row>
    <row r="20" spans="2:27" s="4" customFormat="1" ht="18.75" customHeight="1" x14ac:dyDescent="0.25">
      <c r="B20" s="162"/>
      <c r="C20" s="47" t="str">
        <f>Uebersetzung!D19</f>
        <v>Standard Minergie</v>
      </c>
      <c r="D20" s="59"/>
      <c r="E20" s="324"/>
      <c r="F20" s="324"/>
      <c r="G20" s="324"/>
      <c r="H20" s="324"/>
      <c r="I20" s="324"/>
      <c r="J20" s="324"/>
      <c r="K20" s="324"/>
      <c r="L20" s="324"/>
      <c r="M20" s="324"/>
      <c r="N20" s="324"/>
      <c r="O20" s="324"/>
      <c r="P20" s="324"/>
      <c r="Q20" s="324"/>
      <c r="R20" s="324"/>
      <c r="S20" s="324"/>
      <c r="T20" s="324"/>
      <c r="U20" s="324"/>
      <c r="V20" s="324"/>
      <c r="W20" s="324"/>
      <c r="X20" s="392"/>
      <c r="Y20" s="7"/>
      <c r="Z20" s="9"/>
      <c r="AA20" s="7"/>
    </row>
    <row r="21" spans="2:27" s="4" customFormat="1" ht="18.75" customHeight="1" x14ac:dyDescent="0.25">
      <c r="B21" s="162"/>
      <c r="C21" s="47" t="str">
        <f>Uebersetzung!D195</f>
        <v>Début de la mise en œuvre nouvelle construction / rénovation (année)</v>
      </c>
      <c r="D21" s="59"/>
      <c r="E21" s="339"/>
      <c r="F21" s="339"/>
      <c r="G21" s="339"/>
      <c r="H21" s="339"/>
      <c r="I21" s="339"/>
      <c r="J21" s="339"/>
      <c r="K21" s="339"/>
      <c r="L21" s="339"/>
      <c r="M21" s="339"/>
      <c r="N21" s="339"/>
      <c r="O21" s="339"/>
      <c r="P21" s="339"/>
      <c r="Q21" s="339"/>
      <c r="R21" s="339"/>
      <c r="S21" s="339"/>
      <c r="T21" s="339"/>
      <c r="U21" s="339"/>
      <c r="V21" s="339"/>
      <c r="W21" s="339"/>
      <c r="X21" s="393"/>
      <c r="Y21" s="8"/>
    </row>
    <row r="22" spans="2:27" s="4" customFormat="1" ht="18.75" customHeight="1" x14ac:dyDescent="0.25">
      <c r="C22" s="33" t="str">
        <f>Uebersetzung!D176</f>
        <v>Bâtiments existants : catégorie de bâtiment (affectation principale)</v>
      </c>
      <c r="D22" s="56"/>
      <c r="E22" s="340"/>
      <c r="F22" s="340"/>
      <c r="G22" s="340"/>
      <c r="H22" s="340"/>
      <c r="I22" s="340"/>
      <c r="J22" s="340"/>
      <c r="K22" s="340"/>
      <c r="L22" s="340"/>
      <c r="M22" s="340"/>
      <c r="N22" s="340"/>
      <c r="O22" s="340"/>
      <c r="P22" s="340"/>
      <c r="Q22" s="340"/>
      <c r="R22" s="340"/>
      <c r="S22" s="340"/>
      <c r="T22" s="340"/>
      <c r="U22" s="340"/>
      <c r="V22" s="340"/>
      <c r="W22" s="340"/>
      <c r="X22" s="394"/>
      <c r="Y22" s="7"/>
      <c r="AA22" s="7"/>
    </row>
    <row r="23" spans="2:27" s="4" customFormat="1" ht="27.75" customHeight="1" x14ac:dyDescent="0.2">
      <c r="C23" s="432" t="str">
        <f>Uebersetzung!D167&amp;" "&amp;Uebersetzung!D156</f>
        <v>Supplémentaires Données pour les nouvelles constructions Minergie</v>
      </c>
      <c r="D23" s="432"/>
      <c r="E23" s="334" t="str">
        <f>IF(E18=Neubau,IF(E80&lt;&gt;E15,Uebersetzung!$D$138,""),"")</f>
        <v/>
      </c>
      <c r="F23" s="334" t="str">
        <f>IF(F18=Neubau,IF(F80&lt;&gt;F15,Uebersetzung!$D$138,""),"")</f>
        <v/>
      </c>
      <c r="G23" s="334" t="str">
        <f>IF(G18=Neubau,IF(G80&lt;&gt;G15,Uebersetzung!$D$138,""),"")</f>
        <v/>
      </c>
      <c r="H23" s="334" t="str">
        <f>IF(H18=Neubau,IF(H80&lt;&gt;H15,Uebersetzung!$D$138,""),"")</f>
        <v/>
      </c>
      <c r="I23" s="334" t="str">
        <f>IF(I18=Neubau,IF(I80&lt;&gt;I15,Uebersetzung!$D$138,""),"")</f>
        <v/>
      </c>
      <c r="J23" s="334" t="str">
        <f>IF(J18=Neubau,IF(J80&lt;&gt;J15,Uebersetzung!$D$138,""),"")</f>
        <v/>
      </c>
      <c r="K23" s="334" t="str">
        <f>IF(K18=Neubau,IF(K80&lt;&gt;K15,Uebersetzung!$D$138,""),"")</f>
        <v/>
      </c>
      <c r="L23" s="334" t="str">
        <f>IF(L18=Neubau,IF(L80&lt;&gt;L15,Uebersetzung!$D$138,""),"")</f>
        <v/>
      </c>
      <c r="M23" s="334" t="str">
        <f>IF(M18=Neubau,IF(M80&lt;&gt;M15,Uebersetzung!$D$138,""),"")</f>
        <v/>
      </c>
      <c r="N23" s="334" t="str">
        <f>IF(N18=Neubau,IF(N80&lt;&gt;N15,Uebersetzung!$D$138,""),"")</f>
        <v/>
      </c>
      <c r="O23" s="334" t="str">
        <f>IF(O18=Neubau,IF(O80&lt;&gt;O15,Uebersetzung!$D$138,""),"")</f>
        <v/>
      </c>
      <c r="P23" s="334" t="str">
        <f>IF(P18=Neubau,IF(P80&lt;&gt;P15,Uebersetzung!$D$138,""),"")</f>
        <v/>
      </c>
      <c r="Q23" s="334" t="str">
        <f>IF(Q18=Neubau,IF(Q80&lt;&gt;Q15,Uebersetzung!$D$138,""),"")</f>
        <v/>
      </c>
      <c r="R23" s="334" t="str">
        <f>IF(R18=Neubau,IF(R80&lt;&gt;R15,Uebersetzung!$D$138,""),"")</f>
        <v/>
      </c>
      <c r="S23" s="334" t="str">
        <f>IF(S18=Neubau,IF(S80&lt;&gt;S15,Uebersetzung!$D$138,""),"")</f>
        <v/>
      </c>
      <c r="T23" s="334" t="str">
        <f>IF(T18=Neubau,IF(T80&lt;&gt;T15,Uebersetzung!$D$138,""),"")</f>
        <v/>
      </c>
      <c r="U23" s="334" t="str">
        <f>IF(U18=Neubau,IF(U80&lt;&gt;U15,Uebersetzung!$D$138,""),"")</f>
        <v/>
      </c>
      <c r="V23" s="334" t="str">
        <f>IF(V18=Neubau,IF(V80&lt;&gt;V15,Uebersetzung!$D$138,""),"")</f>
        <v/>
      </c>
      <c r="W23" s="334" t="str">
        <f>IF(W18=Neubau,IF(W80&lt;&gt;W15,Uebersetzung!$D$138,""),"")</f>
        <v/>
      </c>
      <c r="X23" s="334" t="str">
        <f>IF(X18=Neubau,IF(X80&lt;&gt;X15,Uebersetzung!$D$138,""),"")</f>
        <v/>
      </c>
      <c r="Y23" s="7"/>
      <c r="Z23" s="9"/>
      <c r="AA23" s="7"/>
    </row>
    <row r="24" spans="2:27" s="4" customFormat="1" ht="18.75" customHeight="1" x14ac:dyDescent="0.25">
      <c r="B24" s="429" t="str">
        <f>Uebersetzung!$D$56&amp;" "&amp;1</f>
        <v>Zone 1</v>
      </c>
      <c r="C24" s="16" t="str">
        <f>Uebersetzung!$D$16</f>
        <v>Catégorie de bâtiment</v>
      </c>
      <c r="D24" s="54"/>
      <c r="E24" s="317"/>
      <c r="F24" s="317"/>
      <c r="G24" s="317"/>
      <c r="H24" s="317"/>
      <c r="I24" s="317"/>
      <c r="J24" s="317"/>
      <c r="K24" s="317"/>
      <c r="L24" s="317"/>
      <c r="M24" s="317"/>
      <c r="N24" s="317"/>
      <c r="O24" s="317"/>
      <c r="P24" s="317"/>
      <c r="Q24" s="317"/>
      <c r="R24" s="317"/>
      <c r="S24" s="317"/>
      <c r="T24" s="317"/>
      <c r="U24" s="317"/>
      <c r="V24" s="317"/>
      <c r="W24" s="317"/>
      <c r="X24" s="395"/>
      <c r="Y24" s="7"/>
      <c r="Z24" s="9"/>
      <c r="AA24" s="7"/>
    </row>
    <row r="25" spans="2:27" s="4" customFormat="1" ht="18.75" customHeight="1" x14ac:dyDescent="0.25">
      <c r="B25" s="430"/>
      <c r="C25" s="156" t="str">
        <f>Uebersetzung!$D$186&amp;" "&amp;Uebersetzung!$D$17</f>
        <v>Part Surface de référence énergétique SRE</v>
      </c>
      <c r="D25" s="72" t="s">
        <v>526</v>
      </c>
      <c r="E25" s="298"/>
      <c r="F25" s="298"/>
      <c r="G25" s="298"/>
      <c r="H25" s="298"/>
      <c r="I25" s="298"/>
      <c r="J25" s="298"/>
      <c r="K25" s="298"/>
      <c r="L25" s="298"/>
      <c r="M25" s="298"/>
      <c r="N25" s="298"/>
      <c r="O25" s="298"/>
      <c r="P25" s="298"/>
      <c r="Q25" s="298"/>
      <c r="R25" s="298"/>
      <c r="S25" s="298"/>
      <c r="T25" s="298"/>
      <c r="U25" s="298"/>
      <c r="V25" s="298"/>
      <c r="W25" s="298"/>
      <c r="X25" s="396"/>
      <c r="Y25" s="148"/>
    </row>
    <row r="26" spans="2:27" s="4" customFormat="1" ht="14.25" customHeight="1" x14ac:dyDescent="0.25">
      <c r="B26" s="431"/>
      <c r="C26" s="33" t="str">
        <f>Uebersetzung!$D$17</f>
        <v>Surface de référence énergétique SRE</v>
      </c>
      <c r="D26" s="56" t="s">
        <v>4</v>
      </c>
      <c r="E26" s="300">
        <f>E25*E$15</f>
        <v>0</v>
      </c>
      <c r="F26" s="300">
        <f t="shared" ref="F26:X26" si="2">F25*F$15</f>
        <v>0</v>
      </c>
      <c r="G26" s="300">
        <f t="shared" si="2"/>
        <v>0</v>
      </c>
      <c r="H26" s="300">
        <f t="shared" si="2"/>
        <v>0</v>
      </c>
      <c r="I26" s="300">
        <f t="shared" si="2"/>
        <v>0</v>
      </c>
      <c r="J26" s="300">
        <f t="shared" si="2"/>
        <v>0</v>
      </c>
      <c r="K26" s="300">
        <f t="shared" si="2"/>
        <v>0</v>
      </c>
      <c r="L26" s="300">
        <f t="shared" si="2"/>
        <v>0</v>
      </c>
      <c r="M26" s="300">
        <f t="shared" si="2"/>
        <v>0</v>
      </c>
      <c r="N26" s="300">
        <f t="shared" si="2"/>
        <v>0</v>
      </c>
      <c r="O26" s="300">
        <f t="shared" si="2"/>
        <v>0</v>
      </c>
      <c r="P26" s="300">
        <f t="shared" si="2"/>
        <v>0</v>
      </c>
      <c r="Q26" s="300">
        <f t="shared" si="2"/>
        <v>0</v>
      </c>
      <c r="R26" s="300">
        <f t="shared" si="2"/>
        <v>0</v>
      </c>
      <c r="S26" s="300">
        <f t="shared" si="2"/>
        <v>0</v>
      </c>
      <c r="T26" s="300">
        <f t="shared" si="2"/>
        <v>0</v>
      </c>
      <c r="U26" s="300">
        <f t="shared" si="2"/>
        <v>0</v>
      </c>
      <c r="V26" s="300">
        <f t="shared" si="2"/>
        <v>0</v>
      </c>
      <c r="W26" s="300">
        <f t="shared" si="2"/>
        <v>0</v>
      </c>
      <c r="X26" s="397">
        <f t="shared" si="2"/>
        <v>0</v>
      </c>
      <c r="Y26" s="148"/>
    </row>
    <row r="27" spans="2:27" s="4" customFormat="1" ht="18.75" customHeight="1" x14ac:dyDescent="0.25">
      <c r="B27" s="429" t="str">
        <f>Uebersetzung!$D$56&amp;" "&amp;2</f>
        <v>Zone 2</v>
      </c>
      <c r="C27" s="157" t="str">
        <f>Uebersetzung!$D$16</f>
        <v>Catégorie de bâtiment</v>
      </c>
      <c r="D27" s="54"/>
      <c r="E27" s="317"/>
      <c r="F27" s="317"/>
      <c r="G27" s="317"/>
      <c r="H27" s="317"/>
      <c r="I27" s="317"/>
      <c r="J27" s="317"/>
      <c r="K27" s="317"/>
      <c r="L27" s="317"/>
      <c r="M27" s="317"/>
      <c r="N27" s="317"/>
      <c r="O27" s="317"/>
      <c r="P27" s="317"/>
      <c r="Q27" s="317"/>
      <c r="R27" s="317"/>
      <c r="S27" s="317"/>
      <c r="T27" s="317"/>
      <c r="U27" s="317"/>
      <c r="V27" s="317"/>
      <c r="W27" s="317"/>
      <c r="X27" s="395"/>
      <c r="Y27" s="7"/>
      <c r="Z27" s="9"/>
      <c r="AA27" s="7"/>
    </row>
    <row r="28" spans="2:27" s="4" customFormat="1" ht="18.75" customHeight="1" x14ac:dyDescent="0.25">
      <c r="B28" s="430"/>
      <c r="C28" s="156" t="str">
        <f>Uebersetzung!$D$186&amp;" "&amp;Uebersetzung!$D$17</f>
        <v>Part Surface de référence énergétique SRE</v>
      </c>
      <c r="D28" s="72" t="s">
        <v>526</v>
      </c>
      <c r="E28" s="298"/>
      <c r="F28" s="298"/>
      <c r="G28" s="298"/>
      <c r="H28" s="298"/>
      <c r="I28" s="298"/>
      <c r="J28" s="298"/>
      <c r="K28" s="298"/>
      <c r="L28" s="298"/>
      <c r="M28" s="298"/>
      <c r="N28" s="298"/>
      <c r="O28" s="298"/>
      <c r="P28" s="298"/>
      <c r="Q28" s="298"/>
      <c r="R28" s="298"/>
      <c r="S28" s="298"/>
      <c r="T28" s="298"/>
      <c r="U28" s="298"/>
      <c r="V28" s="298"/>
      <c r="W28" s="298"/>
      <c r="X28" s="396"/>
      <c r="Y28" s="148"/>
      <c r="Z28" s="149"/>
      <c r="AA28" s="7"/>
    </row>
    <row r="29" spans="2:27" s="4" customFormat="1" ht="14.25" customHeight="1" x14ac:dyDescent="0.25">
      <c r="B29" s="431"/>
      <c r="C29" s="33" t="str">
        <f>Uebersetzung!$D$17</f>
        <v>Surface de référence énergétique SRE</v>
      </c>
      <c r="D29" s="56" t="s">
        <v>4</v>
      </c>
      <c r="E29" s="300">
        <f>E28*E$15</f>
        <v>0</v>
      </c>
      <c r="F29" s="300">
        <f t="shared" ref="F29:X29" si="3">F28*F$15</f>
        <v>0</v>
      </c>
      <c r="G29" s="300">
        <f t="shared" si="3"/>
        <v>0</v>
      </c>
      <c r="H29" s="300">
        <f t="shared" si="3"/>
        <v>0</v>
      </c>
      <c r="I29" s="300">
        <f t="shared" si="3"/>
        <v>0</v>
      </c>
      <c r="J29" s="300">
        <f t="shared" si="3"/>
        <v>0</v>
      </c>
      <c r="K29" s="300">
        <f t="shared" si="3"/>
        <v>0</v>
      </c>
      <c r="L29" s="300">
        <f t="shared" si="3"/>
        <v>0</v>
      </c>
      <c r="M29" s="300">
        <f t="shared" si="3"/>
        <v>0</v>
      </c>
      <c r="N29" s="300">
        <f t="shared" si="3"/>
        <v>0</v>
      </c>
      <c r="O29" s="300">
        <f t="shared" si="3"/>
        <v>0</v>
      </c>
      <c r="P29" s="300">
        <f t="shared" si="3"/>
        <v>0</v>
      </c>
      <c r="Q29" s="300">
        <f t="shared" si="3"/>
        <v>0</v>
      </c>
      <c r="R29" s="300">
        <f t="shared" si="3"/>
        <v>0</v>
      </c>
      <c r="S29" s="300">
        <f t="shared" si="3"/>
        <v>0</v>
      </c>
      <c r="T29" s="300">
        <f t="shared" si="3"/>
        <v>0</v>
      </c>
      <c r="U29" s="300">
        <f t="shared" si="3"/>
        <v>0</v>
      </c>
      <c r="V29" s="300">
        <f t="shared" si="3"/>
        <v>0</v>
      </c>
      <c r="W29" s="300">
        <f t="shared" si="3"/>
        <v>0</v>
      </c>
      <c r="X29" s="397">
        <f t="shared" si="3"/>
        <v>0</v>
      </c>
      <c r="Y29" s="148"/>
    </row>
    <row r="30" spans="2:27" s="4" customFormat="1" ht="18.75" customHeight="1" x14ac:dyDescent="0.25">
      <c r="B30" s="429" t="str">
        <f>Uebersetzung!$D$56&amp;" "&amp;3</f>
        <v>Zone 3</v>
      </c>
      <c r="C30" s="157" t="str">
        <f>Uebersetzung!$D$16</f>
        <v>Catégorie de bâtiment</v>
      </c>
      <c r="D30" s="54"/>
      <c r="E30" s="317"/>
      <c r="F30" s="317"/>
      <c r="G30" s="317"/>
      <c r="H30" s="317"/>
      <c r="I30" s="317"/>
      <c r="J30" s="317"/>
      <c r="K30" s="317"/>
      <c r="L30" s="317"/>
      <c r="M30" s="317"/>
      <c r="N30" s="317"/>
      <c r="O30" s="317"/>
      <c r="P30" s="317"/>
      <c r="Q30" s="317"/>
      <c r="R30" s="317"/>
      <c r="S30" s="317"/>
      <c r="T30" s="317"/>
      <c r="U30" s="317"/>
      <c r="V30" s="317"/>
      <c r="W30" s="317"/>
      <c r="X30" s="395"/>
      <c r="Y30" s="7"/>
      <c r="Z30" s="9"/>
      <c r="AA30" s="7"/>
    </row>
    <row r="31" spans="2:27" s="4" customFormat="1" ht="18.75" customHeight="1" x14ac:dyDescent="0.25">
      <c r="B31" s="430"/>
      <c r="C31" s="156" t="str">
        <f>Uebersetzung!$D$186&amp;" "&amp;Uebersetzung!$D$17</f>
        <v>Part Surface de référence énergétique SRE</v>
      </c>
      <c r="D31" s="72" t="s">
        <v>526</v>
      </c>
      <c r="E31" s="298"/>
      <c r="F31" s="298"/>
      <c r="G31" s="298"/>
      <c r="H31" s="298"/>
      <c r="I31" s="298"/>
      <c r="J31" s="298"/>
      <c r="K31" s="298"/>
      <c r="L31" s="298"/>
      <c r="M31" s="298"/>
      <c r="N31" s="298"/>
      <c r="O31" s="298"/>
      <c r="P31" s="298"/>
      <c r="Q31" s="298"/>
      <c r="R31" s="298"/>
      <c r="S31" s="298"/>
      <c r="T31" s="298"/>
      <c r="U31" s="298"/>
      <c r="V31" s="298"/>
      <c r="W31" s="298"/>
      <c r="X31" s="396"/>
      <c r="Y31" s="148"/>
      <c r="Z31" s="149"/>
      <c r="AA31" s="7"/>
    </row>
    <row r="32" spans="2:27" s="4" customFormat="1" ht="14.25" customHeight="1" x14ac:dyDescent="0.25">
      <c r="B32" s="431"/>
      <c r="C32" s="33" t="str">
        <f>Uebersetzung!$D$17</f>
        <v>Surface de référence énergétique SRE</v>
      </c>
      <c r="D32" s="56" t="s">
        <v>4</v>
      </c>
      <c r="E32" s="300">
        <f>E31*E$15</f>
        <v>0</v>
      </c>
      <c r="F32" s="300">
        <f t="shared" ref="F32:X32" si="4">F31*F$15</f>
        <v>0</v>
      </c>
      <c r="G32" s="300">
        <f t="shared" si="4"/>
        <v>0</v>
      </c>
      <c r="H32" s="300">
        <f t="shared" si="4"/>
        <v>0</v>
      </c>
      <c r="I32" s="300">
        <f t="shared" si="4"/>
        <v>0</v>
      </c>
      <c r="J32" s="300">
        <f t="shared" si="4"/>
        <v>0</v>
      </c>
      <c r="K32" s="300">
        <f t="shared" si="4"/>
        <v>0</v>
      </c>
      <c r="L32" s="300">
        <f t="shared" si="4"/>
        <v>0</v>
      </c>
      <c r="M32" s="300">
        <f t="shared" si="4"/>
        <v>0</v>
      </c>
      <c r="N32" s="300">
        <f t="shared" si="4"/>
        <v>0</v>
      </c>
      <c r="O32" s="300">
        <f t="shared" si="4"/>
        <v>0</v>
      </c>
      <c r="P32" s="300">
        <f t="shared" si="4"/>
        <v>0</v>
      </c>
      <c r="Q32" s="300">
        <f t="shared" si="4"/>
        <v>0</v>
      </c>
      <c r="R32" s="300">
        <f t="shared" si="4"/>
        <v>0</v>
      </c>
      <c r="S32" s="300">
        <f t="shared" si="4"/>
        <v>0</v>
      </c>
      <c r="T32" s="300">
        <f t="shared" si="4"/>
        <v>0</v>
      </c>
      <c r="U32" s="300">
        <f t="shared" si="4"/>
        <v>0</v>
      </c>
      <c r="V32" s="300">
        <f t="shared" si="4"/>
        <v>0</v>
      </c>
      <c r="W32" s="300">
        <f t="shared" si="4"/>
        <v>0</v>
      </c>
      <c r="X32" s="397">
        <f t="shared" si="4"/>
        <v>0</v>
      </c>
      <c r="Y32" s="148"/>
    </row>
    <row r="33" spans="2:27" s="4" customFormat="1" ht="18.75" customHeight="1" x14ac:dyDescent="0.25">
      <c r="B33" s="429" t="str">
        <f>Uebersetzung!$D$56&amp;" "&amp;4</f>
        <v>Zone 4</v>
      </c>
      <c r="C33" s="157" t="str">
        <f>Uebersetzung!$D$16</f>
        <v>Catégorie de bâtiment</v>
      </c>
      <c r="D33" s="54"/>
      <c r="E33" s="317"/>
      <c r="F33" s="317"/>
      <c r="G33" s="317"/>
      <c r="H33" s="317"/>
      <c r="I33" s="317"/>
      <c r="J33" s="317"/>
      <c r="K33" s="317"/>
      <c r="L33" s="317"/>
      <c r="M33" s="317"/>
      <c r="N33" s="317"/>
      <c r="O33" s="317"/>
      <c r="P33" s="317"/>
      <c r="Q33" s="317"/>
      <c r="R33" s="317"/>
      <c r="S33" s="317"/>
      <c r="T33" s="317"/>
      <c r="U33" s="317"/>
      <c r="V33" s="317"/>
      <c r="W33" s="317"/>
      <c r="X33" s="395"/>
      <c r="Y33" s="7"/>
      <c r="Z33" s="9"/>
      <c r="AA33" s="7"/>
    </row>
    <row r="34" spans="2:27" s="4" customFormat="1" ht="18.75" customHeight="1" x14ac:dyDescent="0.25">
      <c r="B34" s="430"/>
      <c r="C34" s="156" t="str">
        <f>Uebersetzung!$D$186&amp;" "&amp;Uebersetzung!$D$17</f>
        <v>Part Surface de référence énergétique SRE</v>
      </c>
      <c r="D34" s="72" t="s">
        <v>526</v>
      </c>
      <c r="E34" s="298"/>
      <c r="F34" s="298"/>
      <c r="G34" s="298"/>
      <c r="H34" s="298"/>
      <c r="I34" s="298"/>
      <c r="J34" s="298"/>
      <c r="K34" s="298"/>
      <c r="L34" s="298"/>
      <c r="M34" s="298"/>
      <c r="N34" s="298"/>
      <c r="O34" s="298"/>
      <c r="P34" s="298"/>
      <c r="Q34" s="298"/>
      <c r="R34" s="298"/>
      <c r="S34" s="298"/>
      <c r="T34" s="298"/>
      <c r="U34" s="298"/>
      <c r="V34" s="298"/>
      <c r="W34" s="298"/>
      <c r="X34" s="396"/>
      <c r="Y34" s="148"/>
      <c r="Z34" s="149"/>
      <c r="AA34" s="7"/>
    </row>
    <row r="35" spans="2:27" s="4" customFormat="1" ht="14.25" customHeight="1" x14ac:dyDescent="0.25">
      <c r="B35" s="431"/>
      <c r="C35" s="33" t="str">
        <f>Uebersetzung!$D$17</f>
        <v>Surface de référence énergétique SRE</v>
      </c>
      <c r="D35" s="56" t="s">
        <v>4</v>
      </c>
      <c r="E35" s="300">
        <f>E34*E$15</f>
        <v>0</v>
      </c>
      <c r="F35" s="300">
        <f t="shared" ref="F35:X35" si="5">F34*F$15</f>
        <v>0</v>
      </c>
      <c r="G35" s="300">
        <f t="shared" si="5"/>
        <v>0</v>
      </c>
      <c r="H35" s="300">
        <f t="shared" si="5"/>
        <v>0</v>
      </c>
      <c r="I35" s="300">
        <f t="shared" si="5"/>
        <v>0</v>
      </c>
      <c r="J35" s="300">
        <f t="shared" si="5"/>
        <v>0</v>
      </c>
      <c r="K35" s="300">
        <f t="shared" si="5"/>
        <v>0</v>
      </c>
      <c r="L35" s="300">
        <f t="shared" si="5"/>
        <v>0</v>
      </c>
      <c r="M35" s="300">
        <f t="shared" si="5"/>
        <v>0</v>
      </c>
      <c r="N35" s="300">
        <f t="shared" si="5"/>
        <v>0</v>
      </c>
      <c r="O35" s="300">
        <f t="shared" si="5"/>
        <v>0</v>
      </c>
      <c r="P35" s="300">
        <f t="shared" si="5"/>
        <v>0</v>
      </c>
      <c r="Q35" s="300">
        <f t="shared" si="5"/>
        <v>0</v>
      </c>
      <c r="R35" s="300">
        <f t="shared" si="5"/>
        <v>0</v>
      </c>
      <c r="S35" s="300">
        <f t="shared" si="5"/>
        <v>0</v>
      </c>
      <c r="T35" s="300">
        <f t="shared" si="5"/>
        <v>0</v>
      </c>
      <c r="U35" s="300">
        <f t="shared" si="5"/>
        <v>0</v>
      </c>
      <c r="V35" s="300">
        <f t="shared" si="5"/>
        <v>0</v>
      </c>
      <c r="W35" s="300">
        <f t="shared" si="5"/>
        <v>0</v>
      </c>
      <c r="X35" s="397">
        <f t="shared" si="5"/>
        <v>0</v>
      </c>
      <c r="Y35" s="148"/>
    </row>
    <row r="36" spans="2:27" s="4" customFormat="1" ht="18.75" customHeight="1" x14ac:dyDescent="0.25">
      <c r="B36" s="429" t="str">
        <f>Uebersetzung!$D$56&amp;" "&amp;5</f>
        <v>Zone 5</v>
      </c>
      <c r="C36" s="157" t="str">
        <f>Uebersetzung!$D$16</f>
        <v>Catégorie de bâtiment</v>
      </c>
      <c r="D36" s="54"/>
      <c r="E36" s="317"/>
      <c r="F36" s="317"/>
      <c r="G36" s="317"/>
      <c r="H36" s="317"/>
      <c r="I36" s="317"/>
      <c r="J36" s="317"/>
      <c r="K36" s="317"/>
      <c r="L36" s="317"/>
      <c r="M36" s="317"/>
      <c r="N36" s="317"/>
      <c r="O36" s="317"/>
      <c r="P36" s="317"/>
      <c r="Q36" s="317"/>
      <c r="R36" s="317"/>
      <c r="S36" s="317"/>
      <c r="T36" s="317"/>
      <c r="U36" s="317"/>
      <c r="V36" s="317"/>
      <c r="W36" s="317"/>
      <c r="X36" s="395"/>
      <c r="Y36" s="7"/>
      <c r="Z36" s="9"/>
      <c r="AA36" s="7"/>
    </row>
    <row r="37" spans="2:27" s="4" customFormat="1" ht="18.75" customHeight="1" x14ac:dyDescent="0.25">
      <c r="B37" s="430"/>
      <c r="C37" s="156" t="str">
        <f>Uebersetzung!$D$186&amp;" "&amp;Uebersetzung!$D$17</f>
        <v>Part Surface de référence énergétique SRE</v>
      </c>
      <c r="D37" s="72" t="s">
        <v>526</v>
      </c>
      <c r="E37" s="299"/>
      <c r="F37" s="299"/>
      <c r="G37" s="299"/>
      <c r="H37" s="299"/>
      <c r="I37" s="299"/>
      <c r="J37" s="299"/>
      <c r="K37" s="299"/>
      <c r="L37" s="299"/>
      <c r="M37" s="299"/>
      <c r="N37" s="299"/>
      <c r="O37" s="299"/>
      <c r="P37" s="299"/>
      <c r="Q37" s="299"/>
      <c r="R37" s="299"/>
      <c r="S37" s="299"/>
      <c r="T37" s="299"/>
      <c r="U37" s="299"/>
      <c r="V37" s="299"/>
      <c r="W37" s="299"/>
      <c r="X37" s="398"/>
      <c r="Y37" s="148"/>
      <c r="Z37" s="149"/>
      <c r="AA37" s="7"/>
    </row>
    <row r="38" spans="2:27" s="4" customFormat="1" ht="14.25" customHeight="1" x14ac:dyDescent="0.25">
      <c r="B38" s="431"/>
      <c r="C38" s="33" t="str">
        <f>Uebersetzung!$D$17</f>
        <v>Surface de référence énergétique SRE</v>
      </c>
      <c r="D38" s="56" t="s">
        <v>4</v>
      </c>
      <c r="E38" s="300">
        <f>E37*E$15</f>
        <v>0</v>
      </c>
      <c r="F38" s="300">
        <f t="shared" ref="F38:X38" si="6">F37*F$15</f>
        <v>0</v>
      </c>
      <c r="G38" s="300">
        <f t="shared" si="6"/>
        <v>0</v>
      </c>
      <c r="H38" s="300">
        <f t="shared" si="6"/>
        <v>0</v>
      </c>
      <c r="I38" s="300">
        <f t="shared" si="6"/>
        <v>0</v>
      </c>
      <c r="J38" s="300">
        <f t="shared" si="6"/>
        <v>0</v>
      </c>
      <c r="K38" s="300">
        <f t="shared" si="6"/>
        <v>0</v>
      </c>
      <c r="L38" s="300">
        <f t="shared" si="6"/>
        <v>0</v>
      </c>
      <c r="M38" s="300">
        <f t="shared" si="6"/>
        <v>0</v>
      </c>
      <c r="N38" s="300">
        <f t="shared" si="6"/>
        <v>0</v>
      </c>
      <c r="O38" s="300">
        <f t="shared" si="6"/>
        <v>0</v>
      </c>
      <c r="P38" s="300">
        <f t="shared" si="6"/>
        <v>0</v>
      </c>
      <c r="Q38" s="300">
        <f t="shared" si="6"/>
        <v>0</v>
      </c>
      <c r="R38" s="300">
        <f t="shared" si="6"/>
        <v>0</v>
      </c>
      <c r="S38" s="300">
        <f t="shared" si="6"/>
        <v>0</v>
      </c>
      <c r="T38" s="300">
        <f t="shared" si="6"/>
        <v>0</v>
      </c>
      <c r="U38" s="300">
        <f t="shared" si="6"/>
        <v>0</v>
      </c>
      <c r="V38" s="300">
        <f t="shared" si="6"/>
        <v>0</v>
      </c>
      <c r="W38" s="300">
        <f t="shared" si="6"/>
        <v>0</v>
      </c>
      <c r="X38" s="397">
        <f t="shared" si="6"/>
        <v>0</v>
      </c>
      <c r="Y38" s="148"/>
    </row>
    <row r="39" spans="2:27" s="4" customFormat="1" ht="18.75" customHeight="1" x14ac:dyDescent="0.25">
      <c r="B39" s="429" t="str">
        <f>Uebersetzung!$D$56&amp;" "&amp;6</f>
        <v>Zone 6</v>
      </c>
      <c r="C39" s="157" t="str">
        <f>Uebersetzung!$D$16</f>
        <v>Catégorie de bâtiment</v>
      </c>
      <c r="D39" s="54"/>
      <c r="E39" s="317"/>
      <c r="F39" s="317"/>
      <c r="G39" s="317"/>
      <c r="H39" s="317"/>
      <c r="I39" s="317"/>
      <c r="J39" s="317"/>
      <c r="K39" s="317"/>
      <c r="L39" s="317"/>
      <c r="M39" s="317"/>
      <c r="N39" s="317"/>
      <c r="O39" s="317"/>
      <c r="P39" s="317"/>
      <c r="Q39" s="317"/>
      <c r="R39" s="317"/>
      <c r="S39" s="317"/>
      <c r="T39" s="317"/>
      <c r="U39" s="317"/>
      <c r="V39" s="317"/>
      <c r="W39" s="317"/>
      <c r="X39" s="395"/>
      <c r="Y39" s="7"/>
      <c r="Z39" s="9"/>
      <c r="AA39" s="7"/>
    </row>
    <row r="40" spans="2:27" s="4" customFormat="1" ht="18.75" customHeight="1" x14ac:dyDescent="0.25">
      <c r="B40" s="430"/>
      <c r="C40" s="156" t="str">
        <f>Uebersetzung!$D$186&amp;" "&amp;Uebersetzung!$D$17</f>
        <v>Part Surface de référence énergétique SRE</v>
      </c>
      <c r="D40" s="72" t="s">
        <v>526</v>
      </c>
      <c r="E40" s="299"/>
      <c r="F40" s="299"/>
      <c r="G40" s="299"/>
      <c r="H40" s="299"/>
      <c r="I40" s="299"/>
      <c r="J40" s="299"/>
      <c r="K40" s="299"/>
      <c r="L40" s="299"/>
      <c r="M40" s="299"/>
      <c r="N40" s="299"/>
      <c r="O40" s="299"/>
      <c r="P40" s="299"/>
      <c r="Q40" s="299"/>
      <c r="R40" s="299"/>
      <c r="S40" s="299"/>
      <c r="T40" s="299"/>
      <c r="U40" s="299"/>
      <c r="V40" s="299"/>
      <c r="W40" s="299"/>
      <c r="X40" s="398"/>
      <c r="Y40" s="148"/>
      <c r="Z40" s="149"/>
      <c r="AA40" s="7"/>
    </row>
    <row r="41" spans="2:27" s="4" customFormat="1" ht="14.25" customHeight="1" x14ac:dyDescent="0.25">
      <c r="B41" s="431"/>
      <c r="C41" s="33" t="str">
        <f>Uebersetzung!$D$17</f>
        <v>Surface de référence énergétique SRE</v>
      </c>
      <c r="D41" s="56" t="s">
        <v>4</v>
      </c>
      <c r="E41" s="300">
        <f>E40*E$15</f>
        <v>0</v>
      </c>
      <c r="F41" s="300">
        <f t="shared" ref="F41:X41" si="7">F40*F$15</f>
        <v>0</v>
      </c>
      <c r="G41" s="300">
        <f t="shared" si="7"/>
        <v>0</v>
      </c>
      <c r="H41" s="300">
        <f t="shared" si="7"/>
        <v>0</v>
      </c>
      <c r="I41" s="300">
        <f t="shared" si="7"/>
        <v>0</v>
      </c>
      <c r="J41" s="300">
        <f t="shared" si="7"/>
        <v>0</v>
      </c>
      <c r="K41" s="300">
        <f t="shared" si="7"/>
        <v>0</v>
      </c>
      <c r="L41" s="300">
        <f t="shared" si="7"/>
        <v>0</v>
      </c>
      <c r="M41" s="300">
        <f t="shared" si="7"/>
        <v>0</v>
      </c>
      <c r="N41" s="300">
        <f t="shared" si="7"/>
        <v>0</v>
      </c>
      <c r="O41" s="300">
        <f t="shared" si="7"/>
        <v>0</v>
      </c>
      <c r="P41" s="300">
        <f t="shared" si="7"/>
        <v>0</v>
      </c>
      <c r="Q41" s="300">
        <f t="shared" si="7"/>
        <v>0</v>
      </c>
      <c r="R41" s="300">
        <f t="shared" si="7"/>
        <v>0</v>
      </c>
      <c r="S41" s="300">
        <f t="shared" si="7"/>
        <v>0</v>
      </c>
      <c r="T41" s="300">
        <f t="shared" si="7"/>
        <v>0</v>
      </c>
      <c r="U41" s="300">
        <f t="shared" si="7"/>
        <v>0</v>
      </c>
      <c r="V41" s="300">
        <f t="shared" si="7"/>
        <v>0</v>
      </c>
      <c r="W41" s="300">
        <f t="shared" si="7"/>
        <v>0</v>
      </c>
      <c r="X41" s="397">
        <f t="shared" si="7"/>
        <v>0</v>
      </c>
      <c r="Y41" s="148"/>
    </row>
    <row r="42" spans="2:27" s="150" customFormat="1" ht="37.35" customHeight="1" x14ac:dyDescent="0.2">
      <c r="B42" s="165"/>
      <c r="C42" s="158" t="str">
        <f>Uebersetzung!D133&amp;" ("&amp;Uebersetzung!D27&amp;")"</f>
        <v>C1.4 Utilisation de l'énergie solaire (Autoproduction d'électricité)</v>
      </c>
      <c r="D42" s="15"/>
      <c r="E42" s="318"/>
      <c r="F42" s="318"/>
      <c r="G42" s="318"/>
      <c r="H42" s="318"/>
      <c r="I42" s="318"/>
      <c r="J42" s="318"/>
      <c r="K42" s="318"/>
      <c r="L42" s="318"/>
      <c r="M42" s="318"/>
      <c r="N42" s="318"/>
      <c r="O42" s="318"/>
      <c r="P42" s="318"/>
      <c r="Q42" s="318"/>
      <c r="R42" s="318"/>
      <c r="S42" s="318"/>
      <c r="T42" s="318"/>
      <c r="U42" s="318"/>
      <c r="V42" s="318"/>
      <c r="W42" s="318"/>
      <c r="X42" s="318"/>
      <c r="Y42" s="148"/>
      <c r="Z42" s="149"/>
      <c r="AA42" s="7"/>
    </row>
    <row r="43" spans="2:27" s="150" customFormat="1" ht="21.95" customHeight="1" x14ac:dyDescent="0.25">
      <c r="C43" s="425" t="str">
        <f>Uebersetzung!D191</f>
        <v>Bâtiments dans l'inventaire de protection : les dispositions légales communales autorisent-t-elles les installations PV ?</v>
      </c>
      <c r="D43" s="426"/>
      <c r="E43" s="319"/>
      <c r="F43" s="319"/>
      <c r="G43" s="319"/>
      <c r="H43" s="319"/>
      <c r="I43" s="319"/>
      <c r="J43" s="319"/>
      <c r="K43" s="319"/>
      <c r="L43" s="319"/>
      <c r="M43" s="319"/>
      <c r="N43" s="319"/>
      <c r="O43" s="319"/>
      <c r="P43" s="319"/>
      <c r="Q43" s="319"/>
      <c r="R43" s="319"/>
      <c r="S43" s="319"/>
      <c r="T43" s="319"/>
      <c r="U43" s="319"/>
      <c r="V43" s="319"/>
      <c r="W43" s="319"/>
      <c r="X43" s="399"/>
      <c r="Y43" s="148"/>
      <c r="Z43" s="149"/>
      <c r="AA43" s="7"/>
    </row>
    <row r="44" spans="2:27" s="4" customFormat="1" ht="18.75" hidden="1" customHeight="1" x14ac:dyDescent="0.25">
      <c r="C44" s="305" t="str">
        <f>Uebersetzung!$D$36&amp;", "&amp;Uebersetzung!$D$40</f>
        <v>Puissance installée, Exigence</v>
      </c>
      <c r="D44" s="155" t="s">
        <v>9</v>
      </c>
      <c r="E44" s="306" t="str">
        <f>IF(ISBLANK(E10),"",IF(AND(E18=Schutzinv,E43=PV_nicht_zugelassen),0,IF(E18=Neubau,Listen!$C$62*E15,Listen!$C$63*E15)))</f>
        <v/>
      </c>
      <c r="F44" s="306" t="str">
        <f>IF(ISBLANK(F10),"",IF(AND(F18=Schutzinv,F43=PV_nicht_zugelassen),0,IF(F18=Neubau,Listen!$C$62*F15,Listen!$C$63*F15)))</f>
        <v/>
      </c>
      <c r="G44" s="306" t="str">
        <f>IF(ISBLANK(G10),"",IF(AND(G18=Schutzinv,G43=PV_nicht_zugelassen),0,IF(G18=Neubau,Listen!$C$62*G15,Listen!$C$63*G15)))</f>
        <v/>
      </c>
      <c r="H44" s="306" t="str">
        <f>IF(ISBLANK(H10),"",IF(AND(H18=Schutzinv,H43=PV_nicht_zugelassen),0,IF(H18=Neubau,Listen!$C$62*H15,Listen!$C$63*H15)))</f>
        <v/>
      </c>
      <c r="I44" s="306" t="str">
        <f>IF(ISBLANK(I10),"",IF(AND(I18=Schutzinv,I43=PV_nicht_zugelassen),0,IF(I18=Neubau,Listen!$C$62*I15,Listen!$C$63*I15)))</f>
        <v/>
      </c>
      <c r="J44" s="306" t="str">
        <f>IF(ISBLANK(J10),"",IF(AND(J18=Schutzinv,J43=PV_nicht_zugelassen),0,IF(J18=Neubau,Listen!$C$62*J15,Listen!$C$63*J15)))</f>
        <v/>
      </c>
      <c r="K44" s="306" t="str">
        <f>IF(ISBLANK(K10),"",IF(AND(K18=Schutzinv,K43=PV_nicht_zugelassen),0,IF(K18=Neubau,Listen!$C$62*K15,Listen!$C$63*K15)))</f>
        <v/>
      </c>
      <c r="L44" s="306" t="str">
        <f>IF(ISBLANK(L10),"",IF(AND(L18=Schutzinv,L43=PV_nicht_zugelassen),0,IF(L18=Neubau,Listen!$C$62*L15,Listen!$C$63*L15)))</f>
        <v/>
      </c>
      <c r="M44" s="306" t="str">
        <f>IF(ISBLANK(M10),"",IF(AND(M18=Schutzinv,M43=PV_nicht_zugelassen),0,IF(M18=Neubau,Listen!$C$62*M15,Listen!$C$63*M15)))</f>
        <v/>
      </c>
      <c r="N44" s="306" t="str">
        <f>IF(ISBLANK(N10),"",IF(AND(N18=Schutzinv,N43=PV_nicht_zugelassen),0,IF(N18=Neubau,Listen!$C$62*N15,Listen!$C$63*N15)))</f>
        <v/>
      </c>
      <c r="O44" s="306" t="str">
        <f>IF(ISBLANK(O10),"",IF(AND(O18=Schutzinv,O43=PV_nicht_zugelassen),0,IF(O18=Neubau,Listen!$C$62*O15,Listen!$C$63*O15)))</f>
        <v/>
      </c>
      <c r="P44" s="306" t="str">
        <f>IF(ISBLANK(P10),"",IF(AND(P18=Schutzinv,P43=PV_nicht_zugelassen),0,IF(P18=Neubau,Listen!$C$62*P15,Listen!$C$63*P15)))</f>
        <v/>
      </c>
      <c r="Q44" s="306" t="str">
        <f>IF(ISBLANK(Q10),"",IF(AND(Q18=Schutzinv,Q43=PV_nicht_zugelassen),0,IF(Q18=Neubau,Listen!$C$62*Q15,Listen!$C$63*Q15)))</f>
        <v/>
      </c>
      <c r="R44" s="306" t="str">
        <f>IF(ISBLANK(R10),"",IF(AND(R18=Schutzinv,R43=PV_nicht_zugelassen),0,IF(R18=Neubau,Listen!$C$62*R15,Listen!$C$63*R15)))</f>
        <v/>
      </c>
      <c r="S44" s="306" t="str">
        <f>IF(ISBLANK(S10),"",IF(AND(S18=Schutzinv,S43=PV_nicht_zugelassen),0,IF(S18=Neubau,Listen!$C$62*S15,Listen!$C$63*S15)))</f>
        <v/>
      </c>
      <c r="T44" s="306" t="str">
        <f>IF(ISBLANK(T10),"",IF(AND(T18=Schutzinv,T43=PV_nicht_zugelassen),0,IF(T18=Neubau,Listen!$C$62*T15,Listen!$C$63*T15)))</f>
        <v/>
      </c>
      <c r="U44" s="306" t="str">
        <f>IF(ISBLANK(U10),"",IF(AND(U18=Schutzinv,U43=PV_nicht_zugelassen),0,IF(U18=Neubau,Listen!$C$62*U15,Listen!$C$63*U15)))</f>
        <v/>
      </c>
      <c r="V44" s="306" t="str">
        <f>IF(ISBLANK(V10),"",IF(AND(V18=Schutzinv,V43=PV_nicht_zugelassen),0,IF(V18=Neubau,Listen!$C$62*V15,Listen!$C$63*V15)))</f>
        <v/>
      </c>
      <c r="W44" s="306" t="str">
        <f>IF(ISBLANK(W10),"",IF(AND(W18=Schutzinv,W43=PV_nicht_zugelassen),0,IF(W18=Neubau,Listen!$C$62*W15,Listen!$C$63*W15)))</f>
        <v/>
      </c>
      <c r="X44" s="400" t="str">
        <f>IF(ISBLANK(X10),"",IF(AND(X18=Schutzinv,X43=PV_nicht_zugelassen),0,IF(X18=Neubau,Listen!$C$62*X15,Listen!$C$63*X15)))</f>
        <v/>
      </c>
      <c r="Y44" s="8"/>
      <c r="Z44" s="159">
        <f>SUM(E44:X44)</f>
        <v>0</v>
      </c>
      <c r="AA44" s="151" t="str">
        <f>Uebersetzung!D$38</f>
        <v>Total</v>
      </c>
    </row>
    <row r="45" spans="2:27" s="4" customFormat="1" ht="18.75" customHeight="1" x14ac:dyDescent="0.25">
      <c r="C45" s="55" t="str">
        <f>Uebersetzung!D36&amp;", "&amp;Uebersetzung!D41</f>
        <v>Puissance installée, Valeur du projet</v>
      </c>
      <c r="D45" s="56" t="s">
        <v>9</v>
      </c>
      <c r="E45" s="320"/>
      <c r="F45" s="320"/>
      <c r="G45" s="320"/>
      <c r="H45" s="320"/>
      <c r="I45" s="320"/>
      <c r="J45" s="320"/>
      <c r="K45" s="320"/>
      <c r="L45" s="320"/>
      <c r="M45" s="320"/>
      <c r="N45" s="320"/>
      <c r="O45" s="320"/>
      <c r="P45" s="320"/>
      <c r="Q45" s="320"/>
      <c r="R45" s="320"/>
      <c r="S45" s="320"/>
      <c r="T45" s="320"/>
      <c r="U45" s="320"/>
      <c r="V45" s="320"/>
      <c r="W45" s="320"/>
      <c r="X45" s="401"/>
      <c r="Y45" s="8"/>
      <c r="Z45" s="160">
        <f>SUM(E45:X45)</f>
        <v>0</v>
      </c>
      <c r="AA45" s="154" t="str">
        <f>Uebersetzung!D$38</f>
        <v>Total</v>
      </c>
    </row>
    <row r="46" spans="2:27" s="150" customFormat="1" ht="37.35" customHeight="1" x14ac:dyDescent="0.2">
      <c r="C46" s="158" t="str">
        <f>Uebersetzung!D134</f>
        <v>C2.1 EGES gris</v>
      </c>
      <c r="D46" s="15"/>
      <c r="E46" s="318"/>
      <c r="F46" s="318"/>
      <c r="G46" s="318"/>
      <c r="H46" s="318"/>
      <c r="I46" s="318"/>
      <c r="J46" s="318"/>
      <c r="K46" s="318"/>
      <c r="L46" s="318"/>
      <c r="M46" s="318"/>
      <c r="N46" s="318"/>
      <c r="O46" s="318"/>
      <c r="P46" s="318"/>
      <c r="Q46" s="318"/>
      <c r="R46" s="318"/>
      <c r="S46" s="318"/>
      <c r="T46" s="318"/>
      <c r="U46" s="318"/>
      <c r="V46" s="318"/>
      <c r="W46" s="318"/>
      <c r="X46" s="318"/>
      <c r="Y46" s="148"/>
      <c r="Z46" s="266"/>
      <c r="AA46" s="164"/>
    </row>
    <row r="47" spans="2:27" s="150" customFormat="1" ht="18.75" customHeight="1" x14ac:dyDescent="0.2">
      <c r="C47" s="269" t="str">
        <f>Uebersetzung!D173</f>
        <v>Données relatives à la déconstruction des bâtiments existants</v>
      </c>
      <c r="D47" s="270"/>
      <c r="E47" s="321"/>
      <c r="F47" s="321"/>
      <c r="G47" s="321"/>
      <c r="H47" s="321"/>
      <c r="I47" s="321"/>
      <c r="J47" s="321"/>
      <c r="K47" s="321"/>
      <c r="L47" s="321"/>
      <c r="M47" s="321"/>
      <c r="N47" s="321"/>
      <c r="O47" s="321"/>
      <c r="P47" s="321"/>
      <c r="Q47" s="321"/>
      <c r="R47" s="321"/>
      <c r="S47" s="321"/>
      <c r="T47" s="321"/>
      <c r="U47" s="321"/>
      <c r="V47" s="321"/>
      <c r="W47" s="321"/>
      <c r="X47" s="322"/>
      <c r="Y47" s="148"/>
      <c r="Z47" s="149"/>
      <c r="AA47" s="7"/>
    </row>
    <row r="48" spans="2:27" s="150" customFormat="1" ht="18.75" customHeight="1" x14ac:dyDescent="0.25">
      <c r="B48" s="161"/>
      <c r="C48" s="268" t="str">
        <f>Uebersetzung!D122</f>
        <v>Un bâtiment existant est-il déconstruit ?</v>
      </c>
      <c r="D48" s="155"/>
      <c r="E48" s="323"/>
      <c r="F48" s="323"/>
      <c r="G48" s="323"/>
      <c r="H48" s="323"/>
      <c r="I48" s="323"/>
      <c r="J48" s="323"/>
      <c r="K48" s="323"/>
      <c r="L48" s="323"/>
      <c r="M48" s="323"/>
      <c r="N48" s="323"/>
      <c r="O48" s="323"/>
      <c r="P48" s="323"/>
      <c r="Q48" s="323"/>
      <c r="R48" s="323"/>
      <c r="S48" s="323"/>
      <c r="T48" s="323"/>
      <c r="U48" s="323"/>
      <c r="V48" s="323"/>
      <c r="W48" s="323"/>
      <c r="X48" s="402"/>
      <c r="Y48" s="148"/>
      <c r="Z48" s="149"/>
      <c r="AA48" s="7"/>
    </row>
    <row r="49" spans="2:27" s="4" customFormat="1" ht="18.75" customHeight="1" x14ac:dyDescent="0.25">
      <c r="B49" s="162"/>
      <c r="C49" s="206" t="str">
        <f>Uebersetzung!D107</f>
        <v>Catégorie de bâtiment (affectation principale) du bâtiment déconstruit</v>
      </c>
      <c r="D49" s="59"/>
      <c r="E49" s="324"/>
      <c r="F49" s="324"/>
      <c r="G49" s="324"/>
      <c r="H49" s="324"/>
      <c r="I49" s="324"/>
      <c r="J49" s="324"/>
      <c r="K49" s="324"/>
      <c r="L49" s="324"/>
      <c r="M49" s="324"/>
      <c r="N49" s="324"/>
      <c r="O49" s="324"/>
      <c r="P49" s="324"/>
      <c r="Q49" s="324"/>
      <c r="R49" s="324"/>
      <c r="S49" s="324"/>
      <c r="T49" s="324"/>
      <c r="U49" s="324"/>
      <c r="V49" s="324"/>
      <c r="W49" s="324"/>
      <c r="X49" s="392"/>
      <c r="Y49" s="7"/>
      <c r="Z49" s="9"/>
      <c r="AA49" s="7"/>
    </row>
    <row r="50" spans="2:27" s="4" customFormat="1" ht="18.75" customHeight="1" x14ac:dyDescent="0.25">
      <c r="B50" s="162"/>
      <c r="C50" s="206" t="str">
        <f>Uebersetzung!D21</f>
        <v>SRE du bâtiment déconstruit</v>
      </c>
      <c r="D50" s="59" t="s">
        <v>4</v>
      </c>
      <c r="E50" s="44"/>
      <c r="F50" s="44"/>
      <c r="G50" s="44"/>
      <c r="H50" s="44"/>
      <c r="I50" s="44"/>
      <c r="J50" s="44"/>
      <c r="K50" s="44"/>
      <c r="L50" s="44"/>
      <c r="M50" s="44"/>
      <c r="N50" s="44"/>
      <c r="O50" s="44"/>
      <c r="P50" s="44"/>
      <c r="Q50" s="44"/>
      <c r="R50" s="44"/>
      <c r="S50" s="44"/>
      <c r="T50" s="44"/>
      <c r="U50" s="44"/>
      <c r="V50" s="44"/>
      <c r="W50" s="44"/>
      <c r="X50" s="388"/>
      <c r="Y50" s="148"/>
      <c r="Z50" s="149"/>
      <c r="AA50" s="7"/>
    </row>
    <row r="51" spans="2:27" s="4" customFormat="1" ht="18.75" customHeight="1" x14ac:dyDescent="0.25">
      <c r="B51" s="162"/>
      <c r="C51" s="223" t="str">
        <f>Uebersetzung!D22</f>
        <v>Âge du bâtiment déconstruit</v>
      </c>
      <c r="D51" s="56" t="s">
        <v>48</v>
      </c>
      <c r="E51" s="325"/>
      <c r="F51" s="325"/>
      <c r="G51" s="325"/>
      <c r="H51" s="325"/>
      <c r="I51" s="325"/>
      <c r="J51" s="325"/>
      <c r="K51" s="325"/>
      <c r="L51" s="325"/>
      <c r="M51" s="325"/>
      <c r="N51" s="325"/>
      <c r="O51" s="325"/>
      <c r="P51" s="325"/>
      <c r="Q51" s="325"/>
      <c r="R51" s="325"/>
      <c r="S51" s="325"/>
      <c r="T51" s="325"/>
      <c r="U51" s="325"/>
      <c r="V51" s="325"/>
      <c r="W51" s="325"/>
      <c r="X51" s="403"/>
      <c r="Y51" s="148"/>
      <c r="Z51" s="149"/>
      <c r="AA51" s="7"/>
    </row>
    <row r="52" spans="2:27" s="4" customFormat="1" ht="18.75" customHeight="1" x14ac:dyDescent="0.2">
      <c r="C52" s="39" t="str">
        <f>Uebersetzung!D174</f>
        <v>Données relatives aux nouvelles constructions</v>
      </c>
      <c r="D52" s="222"/>
      <c r="E52" s="326"/>
      <c r="F52" s="326"/>
      <c r="G52" s="326"/>
      <c r="H52" s="326"/>
      <c r="I52" s="326"/>
      <c r="J52" s="326"/>
      <c r="K52" s="326"/>
      <c r="L52" s="326"/>
      <c r="M52" s="326"/>
      <c r="N52" s="326"/>
      <c r="O52" s="326"/>
      <c r="P52" s="326"/>
      <c r="Q52" s="326"/>
      <c r="R52" s="326"/>
      <c r="S52" s="326"/>
      <c r="T52" s="326"/>
      <c r="U52" s="326"/>
      <c r="V52" s="326"/>
      <c r="W52" s="326"/>
      <c r="X52" s="404"/>
      <c r="Y52" s="148"/>
      <c r="Z52" s="172"/>
      <c r="AA52" s="173"/>
    </row>
    <row r="53" spans="2:27" s="4" customFormat="1" ht="18.75" hidden="1" customHeight="1" x14ac:dyDescent="0.25">
      <c r="C53" s="197" t="str">
        <f>Uebersetzung!D26&amp;", "&amp;Uebersetzung!D40</f>
        <v>Emissions grises, Exigence</v>
      </c>
      <c r="D53" s="59" t="s">
        <v>35</v>
      </c>
      <c r="E53" s="287" t="str">
        <f t="shared" ref="E53" si="8">IF(AND(E$18=Neubau,E80&gt;0),MAX(SUMPRODUCT(E74:E79,E119:E124)/E80,0),"-")</f>
        <v>-</v>
      </c>
      <c r="F53" s="287" t="str">
        <f t="shared" ref="F53:X53" si="9">IF(AND(F$18=Neubau,F80&gt;0),MAX(SUMPRODUCT(F74:F79,F119:F124)/F80,0),"-")</f>
        <v>-</v>
      </c>
      <c r="G53" s="287" t="str">
        <f t="shared" si="9"/>
        <v>-</v>
      </c>
      <c r="H53" s="287" t="str">
        <f t="shared" si="9"/>
        <v>-</v>
      </c>
      <c r="I53" s="287" t="str">
        <f t="shared" si="9"/>
        <v>-</v>
      </c>
      <c r="J53" s="287" t="str">
        <f t="shared" si="9"/>
        <v>-</v>
      </c>
      <c r="K53" s="287" t="str">
        <f t="shared" si="9"/>
        <v>-</v>
      </c>
      <c r="L53" s="287" t="str">
        <f t="shared" si="9"/>
        <v>-</v>
      </c>
      <c r="M53" s="287" t="str">
        <f t="shared" si="9"/>
        <v>-</v>
      </c>
      <c r="N53" s="287" t="str">
        <f t="shared" si="9"/>
        <v>-</v>
      </c>
      <c r="O53" s="287" t="str">
        <f t="shared" si="9"/>
        <v>-</v>
      </c>
      <c r="P53" s="287" t="str">
        <f t="shared" si="9"/>
        <v>-</v>
      </c>
      <c r="Q53" s="287" t="str">
        <f t="shared" si="9"/>
        <v>-</v>
      </c>
      <c r="R53" s="287" t="str">
        <f t="shared" si="9"/>
        <v>-</v>
      </c>
      <c r="S53" s="287" t="str">
        <f t="shared" si="9"/>
        <v>-</v>
      </c>
      <c r="T53" s="287" t="str">
        <f t="shared" si="9"/>
        <v>-</v>
      </c>
      <c r="U53" s="287" t="str">
        <f t="shared" si="9"/>
        <v>-</v>
      </c>
      <c r="V53" s="287" t="str">
        <f t="shared" si="9"/>
        <v>-</v>
      </c>
      <c r="W53" s="287" t="str">
        <f t="shared" si="9"/>
        <v>-</v>
      </c>
      <c r="X53" s="405" t="str">
        <f t="shared" si="9"/>
        <v>-</v>
      </c>
      <c r="Y53" s="8"/>
      <c r="Z53" s="372" t="e">
        <f>SUMPRODUCT(E53:X53,E80:X80)/Z80</f>
        <v>#DIV/0!</v>
      </c>
      <c r="AA53" s="349" t="str">
        <f>Uebersetzung!D$39</f>
        <v>Poids moyen pondéré par la surface</v>
      </c>
    </row>
    <row r="54" spans="2:27" s="4" customFormat="1" ht="18.75" customHeight="1" x14ac:dyDescent="0.25">
      <c r="C54" s="267" t="str">
        <f>Uebersetzung!D26&amp;", "&amp;Uebersetzung!D41</f>
        <v>Emissions grises, Valeur du projet</v>
      </c>
      <c r="D54" s="56" t="s">
        <v>179</v>
      </c>
      <c r="E54" s="327"/>
      <c r="F54" s="327"/>
      <c r="G54" s="327"/>
      <c r="H54" s="327"/>
      <c r="I54" s="327"/>
      <c r="J54" s="327"/>
      <c r="K54" s="327"/>
      <c r="L54" s="327"/>
      <c r="M54" s="327"/>
      <c r="N54" s="327"/>
      <c r="O54" s="327"/>
      <c r="P54" s="327"/>
      <c r="Q54" s="327"/>
      <c r="R54" s="327"/>
      <c r="S54" s="327"/>
      <c r="T54" s="327"/>
      <c r="U54" s="327"/>
      <c r="V54" s="327"/>
      <c r="W54" s="327"/>
      <c r="X54" s="328"/>
      <c r="Y54" s="8"/>
      <c r="Z54" s="160" t="e">
        <f>SUMPRODUCT(E54:X54,E80:X80)/Z80</f>
        <v>#DIV/0!</v>
      </c>
      <c r="AA54" s="154" t="str">
        <f>Uebersetzung!D$39</f>
        <v>Poids moyen pondéré par la surface</v>
      </c>
    </row>
    <row r="55" spans="2:27" s="150" customFormat="1" ht="37.35" customHeight="1" x14ac:dyDescent="0.2">
      <c r="C55" s="51" t="str">
        <f>Uebersetzung!D169&amp;" ("&amp;Uebersetzung!D76&amp;")"</f>
        <v>C1.1 Énergie d'exploitation (Production de chaleur)</v>
      </c>
      <c r="D55" s="52"/>
      <c r="E55" s="113"/>
      <c r="F55" s="113"/>
      <c r="G55" s="113"/>
      <c r="H55" s="113"/>
      <c r="I55" s="113"/>
      <c r="J55" s="113"/>
      <c r="K55" s="113"/>
      <c r="L55" s="113"/>
      <c r="M55" s="113"/>
      <c r="N55" s="113"/>
      <c r="O55" s="113"/>
      <c r="P55" s="113"/>
      <c r="Q55" s="113"/>
      <c r="R55" s="113"/>
      <c r="S55" s="113"/>
      <c r="T55" s="113"/>
      <c r="U55" s="113"/>
      <c r="V55" s="113"/>
      <c r="W55" s="113"/>
      <c r="X55" s="113"/>
      <c r="Y55" s="148"/>
      <c r="Z55" s="174"/>
      <c r="AA55" s="164"/>
    </row>
    <row r="56" spans="2:27" s="4" customFormat="1" ht="18.75" customHeight="1" x14ac:dyDescent="0.25">
      <c r="C56" s="53" t="str">
        <f>Uebersetzung!D76&amp;" 1"</f>
        <v>Production de chaleur 1</v>
      </c>
      <c r="D56" s="54"/>
      <c r="E56" s="329"/>
      <c r="F56" s="329"/>
      <c r="G56" s="329"/>
      <c r="H56" s="329"/>
      <c r="I56" s="329"/>
      <c r="J56" s="329"/>
      <c r="K56" s="329"/>
      <c r="L56" s="329"/>
      <c r="M56" s="329"/>
      <c r="N56" s="329"/>
      <c r="O56" s="329"/>
      <c r="P56" s="329"/>
      <c r="Q56" s="329"/>
      <c r="R56" s="329"/>
      <c r="S56" s="329"/>
      <c r="T56" s="329"/>
      <c r="U56" s="329"/>
      <c r="V56" s="329"/>
      <c r="W56" s="329"/>
      <c r="X56" s="330"/>
      <c r="Y56" s="8"/>
      <c r="Z56" s="175"/>
      <c r="AA56" s="7"/>
    </row>
    <row r="57" spans="2:27" s="4" customFormat="1" ht="18.75" customHeight="1" x14ac:dyDescent="0.25">
      <c r="C57" s="286" t="str">
        <f>Uebersetzung!D76&amp;" 2"</f>
        <v>Production de chaleur 2</v>
      </c>
      <c r="D57" s="59"/>
      <c r="E57" s="331"/>
      <c r="F57" s="331"/>
      <c r="G57" s="331"/>
      <c r="H57" s="331"/>
      <c r="I57" s="331"/>
      <c r="J57" s="331"/>
      <c r="K57" s="331"/>
      <c r="L57" s="331"/>
      <c r="M57" s="331"/>
      <c r="N57" s="331"/>
      <c r="O57" s="331"/>
      <c r="P57" s="331"/>
      <c r="Q57" s="331"/>
      <c r="R57" s="331"/>
      <c r="S57" s="331"/>
      <c r="T57" s="331"/>
      <c r="U57" s="331"/>
      <c r="V57" s="331"/>
      <c r="W57" s="331"/>
      <c r="X57" s="406"/>
      <c r="Y57" s="8"/>
      <c r="Z57" s="175"/>
      <c r="AA57" s="7"/>
    </row>
    <row r="58" spans="2:27" s="4" customFormat="1" ht="18.75" customHeight="1" x14ac:dyDescent="0.25">
      <c r="C58" s="286" t="str">
        <f>Uebersetzung!D76&amp;" 3"</f>
        <v>Production de chaleur 3</v>
      </c>
      <c r="D58" s="59"/>
      <c r="E58" s="331"/>
      <c r="F58" s="331"/>
      <c r="G58" s="331"/>
      <c r="H58" s="331"/>
      <c r="I58" s="331"/>
      <c r="J58" s="331"/>
      <c r="K58" s="331"/>
      <c r="L58" s="331"/>
      <c r="M58" s="331"/>
      <c r="N58" s="331"/>
      <c r="O58" s="331"/>
      <c r="P58" s="331"/>
      <c r="Q58" s="331"/>
      <c r="R58" s="331"/>
      <c r="S58" s="331"/>
      <c r="T58" s="331"/>
      <c r="U58" s="331"/>
      <c r="V58" s="331"/>
      <c r="W58" s="331"/>
      <c r="X58" s="406"/>
      <c r="Y58" s="8"/>
      <c r="Z58" s="175"/>
      <c r="AA58" s="7"/>
    </row>
    <row r="59" spans="2:27" s="4" customFormat="1" ht="18.75" customHeight="1" x14ac:dyDescent="0.25">
      <c r="C59" s="286" t="str">
        <f>Uebersetzung!D76&amp;" "&amp;Uebersetzung!D187</f>
        <v>Production de chaleur Charge de pointe</v>
      </c>
      <c r="D59" s="59"/>
      <c r="E59" s="331"/>
      <c r="F59" s="331"/>
      <c r="G59" s="331"/>
      <c r="H59" s="331"/>
      <c r="I59" s="331"/>
      <c r="J59" s="331"/>
      <c r="K59" s="331"/>
      <c r="L59" s="331"/>
      <c r="M59" s="331"/>
      <c r="N59" s="331"/>
      <c r="O59" s="331"/>
      <c r="P59" s="331"/>
      <c r="Q59" s="331"/>
      <c r="R59" s="331"/>
      <c r="S59" s="331"/>
      <c r="T59" s="331"/>
      <c r="U59" s="331"/>
      <c r="V59" s="331"/>
      <c r="W59" s="331"/>
      <c r="X59" s="406"/>
      <c r="Y59" s="8"/>
      <c r="Z59" s="175"/>
      <c r="AA59" s="7"/>
    </row>
    <row r="60" spans="2:27" s="4" customFormat="1" ht="18.75" customHeight="1" x14ac:dyDescent="0.25">
      <c r="C60" s="55" t="str">
        <f>Uebersetzung!D113</f>
        <v>Surface des capteurs solaires thermiques</v>
      </c>
      <c r="D60" s="56" t="s">
        <v>4</v>
      </c>
      <c r="E60" s="327"/>
      <c r="F60" s="327"/>
      <c r="G60" s="327"/>
      <c r="H60" s="327"/>
      <c r="I60" s="327"/>
      <c r="J60" s="327"/>
      <c r="K60" s="327"/>
      <c r="L60" s="327"/>
      <c r="M60" s="327"/>
      <c r="N60" s="327"/>
      <c r="O60" s="327"/>
      <c r="P60" s="327"/>
      <c r="Q60" s="327"/>
      <c r="R60" s="327"/>
      <c r="S60" s="327"/>
      <c r="T60" s="327"/>
      <c r="U60" s="327"/>
      <c r="V60" s="327"/>
      <c r="W60" s="327"/>
      <c r="X60" s="328"/>
      <c r="Y60" s="8"/>
      <c r="Z60" s="153">
        <f>SUM(E60:X60)</f>
        <v>0</v>
      </c>
      <c r="AA60" s="152" t="str">
        <f>Uebersetzung!D$38</f>
        <v>Total</v>
      </c>
    </row>
    <row r="61" spans="2:27" s="150" customFormat="1" ht="37.35" customHeight="1" x14ac:dyDescent="0.2">
      <c r="C61" s="427" t="str">
        <f>Uebersetzung!D23</f>
        <v>Compensation des indices pour les nouvelles constructions et les rénovations Minergie</v>
      </c>
      <c r="D61" s="427"/>
      <c r="E61" s="326"/>
      <c r="F61" s="326"/>
      <c r="G61" s="326"/>
      <c r="H61" s="326"/>
      <c r="I61" s="326"/>
      <c r="J61" s="326"/>
      <c r="K61" s="326"/>
      <c r="L61" s="326"/>
      <c r="M61" s="326"/>
      <c r="N61" s="326"/>
      <c r="O61" s="326"/>
      <c r="P61" s="326"/>
      <c r="Q61" s="326"/>
      <c r="R61" s="326"/>
      <c r="S61" s="326"/>
      <c r="T61" s="326"/>
      <c r="U61" s="326"/>
      <c r="V61" s="326"/>
      <c r="W61" s="326"/>
      <c r="X61" s="326"/>
      <c r="Y61" s="148"/>
      <c r="Z61" s="149"/>
      <c r="AA61" s="7"/>
    </row>
    <row r="62" spans="2:27" s="150" customFormat="1" ht="18.75" customHeight="1" x14ac:dyDescent="0.25">
      <c r="C62" s="312" t="str">
        <f>Uebersetzung!D126</f>
        <v>Qh et MKZ sont-ils compensés entre les bâtiments Minergie ?</v>
      </c>
      <c r="D62" s="313"/>
      <c r="E62" s="321"/>
      <c r="F62" s="321"/>
      <c r="G62" s="321"/>
      <c r="H62" s="321"/>
      <c r="I62" s="321"/>
      <c r="J62" s="321"/>
      <c r="K62" s="321"/>
      <c r="L62" s="321"/>
      <c r="M62" s="321"/>
      <c r="N62" s="321"/>
      <c r="O62" s="321"/>
      <c r="P62" s="321"/>
      <c r="Q62" s="321"/>
      <c r="R62" s="321"/>
      <c r="S62" s="321"/>
      <c r="T62" s="321"/>
      <c r="U62" s="321"/>
      <c r="V62" s="321"/>
      <c r="W62" s="321"/>
      <c r="X62" s="322"/>
      <c r="Y62" s="148"/>
      <c r="Z62" s="149"/>
      <c r="AA62" s="7"/>
    </row>
    <row r="63" spans="2:27" s="4" customFormat="1" ht="18.75" customHeight="1" x14ac:dyDescent="0.25">
      <c r="C63" s="305" t="str">
        <f>Uebersetzung!D24&amp;", "&amp;Uebersetzung!D40</f>
        <v>Indice Minergie (MKZ), Exigence</v>
      </c>
      <c r="D63" s="155" t="s">
        <v>7</v>
      </c>
      <c r="E63" s="332"/>
      <c r="F63" s="332"/>
      <c r="G63" s="332"/>
      <c r="H63" s="332"/>
      <c r="I63" s="332"/>
      <c r="J63" s="332"/>
      <c r="K63" s="332"/>
      <c r="L63" s="332"/>
      <c r="M63" s="332"/>
      <c r="N63" s="332"/>
      <c r="O63" s="332"/>
      <c r="P63" s="332"/>
      <c r="Q63" s="332"/>
      <c r="R63" s="332"/>
      <c r="S63" s="332"/>
      <c r="T63" s="332"/>
      <c r="U63" s="332"/>
      <c r="V63" s="332"/>
      <c r="W63" s="332"/>
      <c r="X63" s="333"/>
      <c r="Y63" s="8"/>
      <c r="Z63" s="159" t="e">
        <f>SUMPRODUCT(E127:X127,E63:X63)/Z127</f>
        <v>#DIV/0!</v>
      </c>
      <c r="AA63" s="151" t="str">
        <f>Uebersetzung!D$39</f>
        <v>Poids moyen pondéré par la surface</v>
      </c>
    </row>
    <row r="64" spans="2:27" s="4" customFormat="1" ht="18.75" customHeight="1" x14ac:dyDescent="0.25">
      <c r="C64" s="55" t="str">
        <f>Uebersetzung!D24&amp;", "&amp;Uebersetzung!D41</f>
        <v>Indice Minergie (MKZ), Valeur du projet</v>
      </c>
      <c r="D64" s="56" t="s">
        <v>7</v>
      </c>
      <c r="E64" s="327"/>
      <c r="F64" s="327"/>
      <c r="G64" s="327"/>
      <c r="H64" s="327"/>
      <c r="I64" s="327"/>
      <c r="J64" s="327"/>
      <c r="K64" s="327"/>
      <c r="L64" s="327"/>
      <c r="M64" s="327"/>
      <c r="N64" s="327"/>
      <c r="O64" s="327"/>
      <c r="P64" s="327"/>
      <c r="Q64" s="327"/>
      <c r="R64" s="327"/>
      <c r="S64" s="327"/>
      <c r="T64" s="327"/>
      <c r="U64" s="327"/>
      <c r="V64" s="327"/>
      <c r="W64" s="327"/>
      <c r="X64" s="328"/>
      <c r="Y64" s="8"/>
      <c r="Z64" s="163" t="e">
        <f>SUMPRODUCT($E$127:$X$127,E64:X64)/Z127</f>
        <v>#DIV/0!</v>
      </c>
      <c r="AA64" s="152" t="str">
        <f>Uebersetzung!D$39</f>
        <v>Poids moyen pondéré par la surface</v>
      </c>
    </row>
    <row r="65" spans="3:27" s="4" customFormat="1" ht="18.75" customHeight="1" x14ac:dyDescent="0.25">
      <c r="C65" s="53" t="str">
        <f>Uebersetzung!D25&amp;", "&amp;Uebersetzung!D40</f>
        <v>Besoin de chaleur pour le chauffage (Qh), Exigence</v>
      </c>
      <c r="D65" s="54" t="s">
        <v>7</v>
      </c>
      <c r="E65" s="329"/>
      <c r="F65" s="329"/>
      <c r="G65" s="329"/>
      <c r="H65" s="329"/>
      <c r="I65" s="329"/>
      <c r="J65" s="329"/>
      <c r="K65" s="329"/>
      <c r="L65" s="329"/>
      <c r="M65" s="329"/>
      <c r="N65" s="329"/>
      <c r="O65" s="329"/>
      <c r="P65" s="329"/>
      <c r="Q65" s="329"/>
      <c r="R65" s="329"/>
      <c r="S65" s="329"/>
      <c r="T65" s="329"/>
      <c r="U65" s="329"/>
      <c r="V65" s="329"/>
      <c r="W65" s="329"/>
      <c r="X65" s="330"/>
      <c r="Y65" s="8"/>
      <c r="Z65" s="163" t="e">
        <f>SUMPRODUCT($E$128:$X$128,E65:X65)/Z128</f>
        <v>#DIV/0!</v>
      </c>
      <c r="AA65" s="152" t="str">
        <f>Uebersetzung!D$39</f>
        <v>Poids moyen pondéré par la surface</v>
      </c>
    </row>
    <row r="66" spans="3:27" s="4" customFormat="1" ht="18.75" customHeight="1" x14ac:dyDescent="0.25">
      <c r="C66" s="55" t="str">
        <f>Uebersetzung!D25&amp;", "&amp;Uebersetzung!D41</f>
        <v>Besoin de chaleur pour le chauffage (Qh), Valeur du projet</v>
      </c>
      <c r="D66" s="56" t="s">
        <v>7</v>
      </c>
      <c r="E66" s="327"/>
      <c r="F66" s="327"/>
      <c r="G66" s="327"/>
      <c r="H66" s="327"/>
      <c r="I66" s="327"/>
      <c r="J66" s="327"/>
      <c r="K66" s="327"/>
      <c r="L66" s="327"/>
      <c r="M66" s="327"/>
      <c r="N66" s="327"/>
      <c r="O66" s="327"/>
      <c r="P66" s="327"/>
      <c r="Q66" s="327"/>
      <c r="R66" s="327"/>
      <c r="S66" s="327"/>
      <c r="T66" s="327"/>
      <c r="U66" s="327"/>
      <c r="V66" s="327"/>
      <c r="W66" s="327"/>
      <c r="X66" s="328"/>
      <c r="Y66" s="8"/>
      <c r="Z66" s="160" t="e">
        <f>SUMPRODUCT($E$128:$X$128,E66:X66)/Z128</f>
        <v>#DIV/0!</v>
      </c>
      <c r="AA66" s="154" t="str">
        <f>Uebersetzung!D$39</f>
        <v>Poids moyen pondéré par la surface</v>
      </c>
    </row>
    <row r="67" spans="3:27" s="4" customFormat="1" ht="16.5" customHeight="1" x14ac:dyDescent="0.25">
      <c r="C67" s="261"/>
      <c r="D67" s="8"/>
      <c r="E67" s="74"/>
      <c r="F67" s="74"/>
      <c r="G67" s="74"/>
      <c r="H67" s="74"/>
      <c r="I67" s="74"/>
      <c r="J67" s="74"/>
      <c r="K67" s="74"/>
      <c r="L67" s="74"/>
      <c r="M67" s="74"/>
      <c r="N67" s="74"/>
      <c r="O67" s="74"/>
      <c r="P67" s="74"/>
      <c r="Q67" s="74"/>
      <c r="R67" s="74"/>
      <c r="S67" s="74"/>
      <c r="T67" s="74"/>
      <c r="U67" s="74"/>
      <c r="V67" s="74"/>
      <c r="W67" s="74"/>
      <c r="X67" s="74"/>
      <c r="Y67" s="8"/>
      <c r="Z67" s="175"/>
      <c r="AA67" s="7"/>
    </row>
    <row r="68" spans="3:27" s="259" customFormat="1" ht="71.099999999999994" customHeight="1" x14ac:dyDescent="0.25">
      <c r="C68" s="262" t="str">
        <f>Uebersetzung!D170</f>
        <v>Commentaires / remarques</v>
      </c>
      <c r="D68" s="263"/>
      <c r="E68" s="407"/>
      <c r="F68" s="407"/>
      <c r="G68" s="407"/>
      <c r="H68" s="407"/>
      <c r="I68" s="407"/>
      <c r="J68" s="407"/>
      <c r="K68" s="407"/>
      <c r="L68" s="407"/>
      <c r="M68" s="407"/>
      <c r="N68" s="407"/>
      <c r="O68" s="407"/>
      <c r="P68" s="407"/>
      <c r="Q68" s="407"/>
      <c r="R68" s="407"/>
      <c r="S68" s="407"/>
      <c r="T68" s="407"/>
      <c r="U68" s="407"/>
      <c r="V68" s="407"/>
      <c r="W68" s="407"/>
      <c r="X68" s="408"/>
      <c r="Z68" s="260"/>
    </row>
    <row r="69" spans="3:27" s="75" customFormat="1" ht="28.5" customHeight="1" x14ac:dyDescent="0.25">
      <c r="C69" s="76"/>
      <c r="D69" s="77"/>
      <c r="E69" s="71"/>
      <c r="F69" s="71"/>
      <c r="G69" s="71"/>
      <c r="H69" s="71"/>
      <c r="I69" s="71"/>
      <c r="J69" s="71"/>
      <c r="K69" s="71"/>
      <c r="L69" s="71"/>
      <c r="M69" s="71"/>
      <c r="N69" s="71"/>
      <c r="O69" s="71"/>
      <c r="P69" s="71"/>
      <c r="Q69" s="71"/>
      <c r="R69" s="71"/>
      <c r="S69" s="71"/>
      <c r="T69" s="71"/>
      <c r="U69" s="71"/>
      <c r="V69" s="71"/>
      <c r="W69" s="71"/>
      <c r="X69" s="71"/>
      <c r="Y69" s="77"/>
      <c r="Z69" s="78"/>
      <c r="AA69" s="79"/>
    </row>
    <row r="70" spans="3:27" s="75" customFormat="1" ht="23.85" hidden="1" customHeight="1" x14ac:dyDescent="0.25">
      <c r="C70" s="80" t="str">
        <f>Uebersetzung!D158</f>
        <v>Calculs</v>
      </c>
      <c r="D70" s="81"/>
      <c r="E70" s="82"/>
      <c r="F70" s="82"/>
      <c r="G70" s="82"/>
      <c r="H70" s="82"/>
      <c r="I70" s="82"/>
      <c r="J70" s="82"/>
      <c r="K70" s="82"/>
      <c r="L70" s="82"/>
      <c r="M70" s="82"/>
      <c r="N70" s="82"/>
      <c r="O70" s="82"/>
      <c r="P70" s="82"/>
      <c r="Q70" s="82"/>
      <c r="R70" s="82"/>
      <c r="S70" s="82"/>
      <c r="T70" s="82"/>
      <c r="U70" s="82"/>
      <c r="V70" s="82"/>
      <c r="W70" s="82"/>
      <c r="X70" s="82"/>
      <c r="Y70" s="77"/>
      <c r="Z70" s="78"/>
      <c r="AA70" s="79"/>
    </row>
    <row r="71" spans="3:27" s="75" customFormat="1" ht="12.75" hidden="1" thickBot="1" x14ac:dyDescent="0.3">
      <c r="C71" s="76"/>
      <c r="D71" s="77"/>
      <c r="E71" s="74"/>
      <c r="F71" s="95"/>
      <c r="G71" s="95"/>
      <c r="H71" s="95"/>
      <c r="I71" s="95"/>
      <c r="J71" s="95"/>
      <c r="K71" s="95"/>
      <c r="L71" s="95"/>
      <c r="M71" s="95"/>
      <c r="N71" s="95"/>
      <c r="O71" s="95"/>
      <c r="P71" s="95"/>
      <c r="Q71" s="95"/>
      <c r="R71" s="95"/>
      <c r="S71" s="95"/>
      <c r="T71" s="95"/>
      <c r="U71" s="95"/>
      <c r="V71" s="95"/>
      <c r="W71" s="95"/>
      <c r="X71" s="95"/>
      <c r="Y71" s="77"/>
      <c r="Z71" s="92"/>
      <c r="AA71" s="79"/>
    </row>
    <row r="72" spans="3:27" s="75" customFormat="1" ht="31.5" hidden="1" customHeight="1" thickTop="1" x14ac:dyDescent="0.2">
      <c r="C72" s="96" t="str">
        <f>Uebersetzung!$D$26&amp;" "&amp;Uebersetzung!D40</f>
        <v>Emissions grises Exigence</v>
      </c>
      <c r="D72" s="97"/>
      <c r="E72" s="73"/>
      <c r="F72" s="73"/>
      <c r="G72" s="73"/>
      <c r="H72" s="73"/>
      <c r="I72" s="73"/>
      <c r="J72" s="73"/>
      <c r="K72" s="73"/>
      <c r="L72" s="73"/>
      <c r="M72" s="73"/>
      <c r="N72" s="73"/>
      <c r="O72" s="73"/>
      <c r="P72" s="73"/>
      <c r="Q72" s="73"/>
      <c r="R72" s="73"/>
      <c r="S72" s="73"/>
      <c r="T72" s="73"/>
      <c r="U72" s="73"/>
      <c r="V72" s="73"/>
      <c r="W72" s="73"/>
      <c r="X72" s="98"/>
      <c r="Y72" s="77"/>
      <c r="Z72" s="78"/>
      <c r="AA72" s="79"/>
    </row>
    <row r="73" spans="3:27" s="75" customFormat="1" ht="19.350000000000001" hidden="1" customHeight="1" x14ac:dyDescent="0.2">
      <c r="C73" s="99" t="str">
        <f>Uebersetzung!$D$159&amp;" "&amp;Uebersetzung!$D$109</f>
        <v>SRE Nouvelle construction</v>
      </c>
      <c r="D73" s="77"/>
      <c r="E73" s="170"/>
      <c r="F73" s="170"/>
      <c r="G73" s="170"/>
      <c r="H73" s="170"/>
      <c r="I73" s="170"/>
      <c r="J73" s="170"/>
      <c r="K73" s="170"/>
      <c r="L73" s="170"/>
      <c r="M73" s="170"/>
      <c r="N73" s="170"/>
      <c r="O73" s="170"/>
      <c r="P73" s="170"/>
      <c r="Q73" s="170"/>
      <c r="R73" s="170"/>
      <c r="S73" s="170"/>
      <c r="T73" s="170"/>
      <c r="U73" s="170"/>
      <c r="V73" s="170"/>
      <c r="W73" s="170"/>
      <c r="X73" s="171"/>
      <c r="Y73" s="77"/>
      <c r="Z73" s="78"/>
      <c r="AA73" s="79"/>
    </row>
    <row r="74" spans="3:27" s="75" customFormat="1" hidden="1" x14ac:dyDescent="0.25">
      <c r="C74" s="101" t="str">
        <f>Uebersetzung!$D$56&amp;" "&amp;1</f>
        <v>Zone 1</v>
      </c>
      <c r="D74" s="84" t="s">
        <v>133</v>
      </c>
      <c r="E74" s="61">
        <f>E26</f>
        <v>0</v>
      </c>
      <c r="F74" s="60">
        <f t="shared" ref="F74:X74" si="10">F26</f>
        <v>0</v>
      </c>
      <c r="G74" s="60">
        <f t="shared" si="10"/>
        <v>0</v>
      </c>
      <c r="H74" s="60">
        <f t="shared" si="10"/>
        <v>0</v>
      </c>
      <c r="I74" s="60">
        <f t="shared" si="10"/>
        <v>0</v>
      </c>
      <c r="J74" s="60">
        <f t="shared" si="10"/>
        <v>0</v>
      </c>
      <c r="K74" s="60">
        <f t="shared" si="10"/>
        <v>0</v>
      </c>
      <c r="L74" s="60">
        <f t="shared" si="10"/>
        <v>0</v>
      </c>
      <c r="M74" s="60">
        <f t="shared" si="10"/>
        <v>0</v>
      </c>
      <c r="N74" s="60">
        <f t="shared" si="10"/>
        <v>0</v>
      </c>
      <c r="O74" s="60">
        <f t="shared" si="10"/>
        <v>0</v>
      </c>
      <c r="P74" s="60">
        <f t="shared" si="10"/>
        <v>0</v>
      </c>
      <c r="Q74" s="60">
        <f t="shared" si="10"/>
        <v>0</v>
      </c>
      <c r="R74" s="60">
        <f t="shared" si="10"/>
        <v>0</v>
      </c>
      <c r="S74" s="60">
        <f t="shared" si="10"/>
        <v>0</v>
      </c>
      <c r="T74" s="60">
        <f t="shared" si="10"/>
        <v>0</v>
      </c>
      <c r="U74" s="60">
        <f t="shared" si="10"/>
        <v>0</v>
      </c>
      <c r="V74" s="60">
        <f t="shared" si="10"/>
        <v>0</v>
      </c>
      <c r="W74" s="60">
        <f t="shared" si="10"/>
        <v>0</v>
      </c>
      <c r="X74" s="102">
        <f t="shared" si="10"/>
        <v>0</v>
      </c>
      <c r="Y74" s="77"/>
      <c r="Z74" s="78"/>
      <c r="AA74" s="79"/>
    </row>
    <row r="75" spans="3:27" s="75" customFormat="1" hidden="1" x14ac:dyDescent="0.25">
      <c r="C75" s="103" t="str">
        <f>Uebersetzung!$D$56&amp;" "&amp;2</f>
        <v>Zone 2</v>
      </c>
      <c r="D75" s="86" t="s">
        <v>133</v>
      </c>
      <c r="E75" s="69">
        <f>E29</f>
        <v>0</v>
      </c>
      <c r="F75" s="87">
        <f t="shared" ref="F75:X75" si="11">F29</f>
        <v>0</v>
      </c>
      <c r="G75" s="87">
        <f t="shared" si="11"/>
        <v>0</v>
      </c>
      <c r="H75" s="87">
        <f t="shared" si="11"/>
        <v>0</v>
      </c>
      <c r="I75" s="87">
        <f t="shared" si="11"/>
        <v>0</v>
      </c>
      <c r="J75" s="87">
        <f t="shared" si="11"/>
        <v>0</v>
      </c>
      <c r="K75" s="87">
        <f t="shared" si="11"/>
        <v>0</v>
      </c>
      <c r="L75" s="87">
        <f t="shared" si="11"/>
        <v>0</v>
      </c>
      <c r="M75" s="87">
        <f t="shared" si="11"/>
        <v>0</v>
      </c>
      <c r="N75" s="87">
        <f t="shared" si="11"/>
        <v>0</v>
      </c>
      <c r="O75" s="87">
        <f t="shared" si="11"/>
        <v>0</v>
      </c>
      <c r="P75" s="87">
        <f t="shared" si="11"/>
        <v>0</v>
      </c>
      <c r="Q75" s="87">
        <f t="shared" si="11"/>
        <v>0</v>
      </c>
      <c r="R75" s="87">
        <f t="shared" si="11"/>
        <v>0</v>
      </c>
      <c r="S75" s="87">
        <f t="shared" si="11"/>
        <v>0</v>
      </c>
      <c r="T75" s="87">
        <f t="shared" si="11"/>
        <v>0</v>
      </c>
      <c r="U75" s="87">
        <f t="shared" si="11"/>
        <v>0</v>
      </c>
      <c r="V75" s="87">
        <f t="shared" si="11"/>
        <v>0</v>
      </c>
      <c r="W75" s="87">
        <f t="shared" si="11"/>
        <v>0</v>
      </c>
      <c r="X75" s="104">
        <f t="shared" si="11"/>
        <v>0</v>
      </c>
      <c r="Y75" s="77"/>
      <c r="Z75" s="78"/>
      <c r="AA75" s="79"/>
    </row>
    <row r="76" spans="3:27" s="75" customFormat="1" hidden="1" x14ac:dyDescent="0.25">
      <c r="C76" s="103" t="str">
        <f>Uebersetzung!$D$56&amp;" "&amp;3</f>
        <v>Zone 3</v>
      </c>
      <c r="D76" s="86" t="s">
        <v>133</v>
      </c>
      <c r="E76" s="69">
        <f>E32</f>
        <v>0</v>
      </c>
      <c r="F76" s="87">
        <f t="shared" ref="F76:X76" si="12">F32</f>
        <v>0</v>
      </c>
      <c r="G76" s="87">
        <f t="shared" si="12"/>
        <v>0</v>
      </c>
      <c r="H76" s="87">
        <f t="shared" si="12"/>
        <v>0</v>
      </c>
      <c r="I76" s="87">
        <f t="shared" si="12"/>
        <v>0</v>
      </c>
      <c r="J76" s="87">
        <f t="shared" si="12"/>
        <v>0</v>
      </c>
      <c r="K76" s="87">
        <f t="shared" si="12"/>
        <v>0</v>
      </c>
      <c r="L76" s="87">
        <f t="shared" si="12"/>
        <v>0</v>
      </c>
      <c r="M76" s="87">
        <f t="shared" si="12"/>
        <v>0</v>
      </c>
      <c r="N76" s="87">
        <f t="shared" si="12"/>
        <v>0</v>
      </c>
      <c r="O76" s="87">
        <f t="shared" si="12"/>
        <v>0</v>
      </c>
      <c r="P76" s="87">
        <f t="shared" si="12"/>
        <v>0</v>
      </c>
      <c r="Q76" s="87">
        <f t="shared" si="12"/>
        <v>0</v>
      </c>
      <c r="R76" s="87">
        <f t="shared" si="12"/>
        <v>0</v>
      </c>
      <c r="S76" s="87">
        <f t="shared" si="12"/>
        <v>0</v>
      </c>
      <c r="T76" s="87">
        <f t="shared" si="12"/>
        <v>0</v>
      </c>
      <c r="U76" s="87">
        <f t="shared" si="12"/>
        <v>0</v>
      </c>
      <c r="V76" s="87">
        <f t="shared" si="12"/>
        <v>0</v>
      </c>
      <c r="W76" s="87">
        <f t="shared" si="12"/>
        <v>0</v>
      </c>
      <c r="X76" s="104">
        <f t="shared" si="12"/>
        <v>0</v>
      </c>
      <c r="Y76" s="77"/>
      <c r="Z76" s="78"/>
      <c r="AA76" s="79"/>
    </row>
    <row r="77" spans="3:27" s="75" customFormat="1" hidden="1" x14ac:dyDescent="0.25">
      <c r="C77" s="103" t="str">
        <f>Uebersetzung!$D$56&amp;" "&amp;4</f>
        <v>Zone 4</v>
      </c>
      <c r="D77" s="86" t="s">
        <v>133</v>
      </c>
      <c r="E77" s="69">
        <f>E35</f>
        <v>0</v>
      </c>
      <c r="F77" s="87">
        <f t="shared" ref="F77:X77" si="13">F35</f>
        <v>0</v>
      </c>
      <c r="G77" s="87">
        <f t="shared" si="13"/>
        <v>0</v>
      </c>
      <c r="H77" s="87">
        <f t="shared" si="13"/>
        <v>0</v>
      </c>
      <c r="I77" s="87">
        <f t="shared" si="13"/>
        <v>0</v>
      </c>
      <c r="J77" s="87">
        <f t="shared" si="13"/>
        <v>0</v>
      </c>
      <c r="K77" s="87">
        <f t="shared" si="13"/>
        <v>0</v>
      </c>
      <c r="L77" s="87">
        <f t="shared" si="13"/>
        <v>0</v>
      </c>
      <c r="M77" s="87">
        <f t="shared" si="13"/>
        <v>0</v>
      </c>
      <c r="N77" s="87">
        <f t="shared" si="13"/>
        <v>0</v>
      </c>
      <c r="O77" s="87">
        <f t="shared" si="13"/>
        <v>0</v>
      </c>
      <c r="P77" s="87">
        <f t="shared" si="13"/>
        <v>0</v>
      </c>
      <c r="Q77" s="87">
        <f t="shared" si="13"/>
        <v>0</v>
      </c>
      <c r="R77" s="87">
        <f t="shared" si="13"/>
        <v>0</v>
      </c>
      <c r="S77" s="87">
        <f t="shared" si="13"/>
        <v>0</v>
      </c>
      <c r="T77" s="87">
        <f t="shared" si="13"/>
        <v>0</v>
      </c>
      <c r="U77" s="87">
        <f t="shared" si="13"/>
        <v>0</v>
      </c>
      <c r="V77" s="87">
        <f t="shared" si="13"/>
        <v>0</v>
      </c>
      <c r="W77" s="87">
        <f t="shared" si="13"/>
        <v>0</v>
      </c>
      <c r="X77" s="104">
        <f t="shared" si="13"/>
        <v>0</v>
      </c>
      <c r="Y77" s="77"/>
      <c r="Z77" s="78"/>
      <c r="AA77" s="79"/>
    </row>
    <row r="78" spans="3:27" s="75" customFormat="1" hidden="1" x14ac:dyDescent="0.25">
      <c r="C78" s="103" t="str">
        <f>Uebersetzung!$D$56&amp;" "&amp;5</f>
        <v>Zone 5</v>
      </c>
      <c r="D78" s="86" t="s">
        <v>133</v>
      </c>
      <c r="E78" s="69">
        <f>E38</f>
        <v>0</v>
      </c>
      <c r="F78" s="87">
        <f t="shared" ref="F78:X78" si="14">F38</f>
        <v>0</v>
      </c>
      <c r="G78" s="87">
        <f t="shared" si="14"/>
        <v>0</v>
      </c>
      <c r="H78" s="87">
        <f t="shared" si="14"/>
        <v>0</v>
      </c>
      <c r="I78" s="87">
        <f t="shared" si="14"/>
        <v>0</v>
      </c>
      <c r="J78" s="87">
        <f t="shared" si="14"/>
        <v>0</v>
      </c>
      <c r="K78" s="87">
        <f t="shared" si="14"/>
        <v>0</v>
      </c>
      <c r="L78" s="87">
        <f t="shared" si="14"/>
        <v>0</v>
      </c>
      <c r="M78" s="87">
        <f t="shared" si="14"/>
        <v>0</v>
      </c>
      <c r="N78" s="87">
        <f t="shared" si="14"/>
        <v>0</v>
      </c>
      <c r="O78" s="87">
        <f t="shared" si="14"/>
        <v>0</v>
      </c>
      <c r="P78" s="87">
        <f t="shared" si="14"/>
        <v>0</v>
      </c>
      <c r="Q78" s="87">
        <f t="shared" si="14"/>
        <v>0</v>
      </c>
      <c r="R78" s="87">
        <f t="shared" si="14"/>
        <v>0</v>
      </c>
      <c r="S78" s="87">
        <f t="shared" si="14"/>
        <v>0</v>
      </c>
      <c r="T78" s="87">
        <f t="shared" si="14"/>
        <v>0</v>
      </c>
      <c r="U78" s="87">
        <f t="shared" si="14"/>
        <v>0</v>
      </c>
      <c r="V78" s="87">
        <f t="shared" si="14"/>
        <v>0</v>
      </c>
      <c r="W78" s="87">
        <f t="shared" si="14"/>
        <v>0</v>
      </c>
      <c r="X78" s="104">
        <f t="shared" si="14"/>
        <v>0</v>
      </c>
      <c r="Y78" s="77"/>
      <c r="Z78" s="78"/>
      <c r="AA78" s="79"/>
    </row>
    <row r="79" spans="3:27" s="75" customFormat="1" hidden="1" x14ac:dyDescent="0.25">
      <c r="C79" s="103" t="str">
        <f>Uebersetzung!$D$56&amp;" "&amp;6</f>
        <v>Zone 6</v>
      </c>
      <c r="D79" s="86" t="s">
        <v>133</v>
      </c>
      <c r="E79" s="69">
        <f>E41</f>
        <v>0</v>
      </c>
      <c r="F79" s="87">
        <f t="shared" ref="F79:X79" si="15">F41</f>
        <v>0</v>
      </c>
      <c r="G79" s="87">
        <f t="shared" si="15"/>
        <v>0</v>
      </c>
      <c r="H79" s="87">
        <f t="shared" si="15"/>
        <v>0</v>
      </c>
      <c r="I79" s="87">
        <f t="shared" si="15"/>
        <v>0</v>
      </c>
      <c r="J79" s="87">
        <f t="shared" si="15"/>
        <v>0</v>
      </c>
      <c r="K79" s="87">
        <f t="shared" si="15"/>
        <v>0</v>
      </c>
      <c r="L79" s="87">
        <f t="shared" si="15"/>
        <v>0</v>
      </c>
      <c r="M79" s="87">
        <f t="shared" si="15"/>
        <v>0</v>
      </c>
      <c r="N79" s="87">
        <f t="shared" si="15"/>
        <v>0</v>
      </c>
      <c r="O79" s="87">
        <f t="shared" si="15"/>
        <v>0</v>
      </c>
      <c r="P79" s="87">
        <f t="shared" si="15"/>
        <v>0</v>
      </c>
      <c r="Q79" s="87">
        <f t="shared" si="15"/>
        <v>0</v>
      </c>
      <c r="R79" s="87">
        <f t="shared" si="15"/>
        <v>0</v>
      </c>
      <c r="S79" s="87">
        <f t="shared" si="15"/>
        <v>0</v>
      </c>
      <c r="T79" s="87">
        <f t="shared" si="15"/>
        <v>0</v>
      </c>
      <c r="U79" s="87">
        <f t="shared" si="15"/>
        <v>0</v>
      </c>
      <c r="V79" s="87">
        <f t="shared" si="15"/>
        <v>0</v>
      </c>
      <c r="W79" s="87">
        <f t="shared" si="15"/>
        <v>0</v>
      </c>
      <c r="X79" s="104">
        <f t="shared" si="15"/>
        <v>0</v>
      </c>
      <c r="Y79" s="77"/>
      <c r="Z79" s="78"/>
      <c r="AA79" s="79"/>
    </row>
    <row r="80" spans="3:27" s="75" customFormat="1" hidden="1" x14ac:dyDescent="0.25">
      <c r="C80" s="105" t="str">
        <f>Uebersetzung!$D$159&amp;" "&amp;Uebersetzung!$D$109&amp;" "&amp;Uebersetzung!D118</f>
        <v>SRE Nouvelle construction total</v>
      </c>
      <c r="D80" s="88"/>
      <c r="E80" s="70">
        <f>SUM(E74:E79)</f>
        <v>0</v>
      </c>
      <c r="F80" s="89">
        <f t="shared" ref="F80:X80" si="16">SUM(F74:F79)</f>
        <v>0</v>
      </c>
      <c r="G80" s="89">
        <f t="shared" si="16"/>
        <v>0</v>
      </c>
      <c r="H80" s="89">
        <f t="shared" si="16"/>
        <v>0</v>
      </c>
      <c r="I80" s="89">
        <f t="shared" si="16"/>
        <v>0</v>
      </c>
      <c r="J80" s="89">
        <f t="shared" si="16"/>
        <v>0</v>
      </c>
      <c r="K80" s="89">
        <f t="shared" si="16"/>
        <v>0</v>
      </c>
      <c r="L80" s="89">
        <f t="shared" si="16"/>
        <v>0</v>
      </c>
      <c r="M80" s="89">
        <f t="shared" si="16"/>
        <v>0</v>
      </c>
      <c r="N80" s="89">
        <f t="shared" si="16"/>
        <v>0</v>
      </c>
      <c r="O80" s="89">
        <f t="shared" si="16"/>
        <v>0</v>
      </c>
      <c r="P80" s="89">
        <f t="shared" si="16"/>
        <v>0</v>
      </c>
      <c r="Q80" s="89">
        <f t="shared" si="16"/>
        <v>0</v>
      </c>
      <c r="R80" s="89">
        <f t="shared" si="16"/>
        <v>0</v>
      </c>
      <c r="S80" s="89">
        <f t="shared" si="16"/>
        <v>0</v>
      </c>
      <c r="T80" s="89">
        <f t="shared" si="16"/>
        <v>0</v>
      </c>
      <c r="U80" s="89">
        <f t="shared" si="16"/>
        <v>0</v>
      </c>
      <c r="V80" s="89">
        <f t="shared" si="16"/>
        <v>0</v>
      </c>
      <c r="W80" s="89">
        <f t="shared" si="16"/>
        <v>0</v>
      </c>
      <c r="X80" s="106">
        <f t="shared" si="16"/>
        <v>0</v>
      </c>
      <c r="Y80" s="77"/>
      <c r="Z80" s="90">
        <f>SUM(E80:X80)</f>
        <v>0</v>
      </c>
      <c r="AA80" s="91" t="str">
        <f>Uebersetzung!D$38</f>
        <v>Total</v>
      </c>
    </row>
    <row r="81" spans="3:27" s="75" customFormat="1" ht="19.350000000000001" hidden="1" customHeight="1" x14ac:dyDescent="0.2">
      <c r="C81" s="99" t="str">
        <f>Uebersetzung!$D$40&amp;" "&amp;Uebersetzung!$D$155&amp;" ("&amp;Uebersetzung!D160&amp;")"</f>
        <v>Exigence froid (SP - SRE)</v>
      </c>
      <c r="D81" s="77"/>
      <c r="E81" s="71"/>
      <c r="F81" s="71"/>
      <c r="G81" s="71"/>
      <c r="H81" s="71"/>
      <c r="I81" s="71"/>
      <c r="J81" s="71"/>
      <c r="K81" s="71"/>
      <c r="L81" s="71"/>
      <c r="M81" s="71"/>
      <c r="N81" s="71"/>
      <c r="O81" s="71"/>
      <c r="P81" s="71"/>
      <c r="Q81" s="71"/>
      <c r="R81" s="71"/>
      <c r="S81" s="71"/>
      <c r="T81" s="71"/>
      <c r="U81" s="71"/>
      <c r="V81" s="71"/>
      <c r="W81" s="71"/>
      <c r="X81" s="100"/>
      <c r="Y81" s="77"/>
      <c r="Z81" s="78"/>
      <c r="AA81" s="79"/>
    </row>
    <row r="82" spans="3:27" s="75" customFormat="1" ht="13.5" hidden="1" x14ac:dyDescent="0.25">
      <c r="C82" s="101" t="str">
        <f>$C$74</f>
        <v>Zone 1</v>
      </c>
      <c r="D82" s="84" t="s">
        <v>145</v>
      </c>
      <c r="E82" s="60">
        <f>IF(E$80=0,0,IFERROR(VLOOKUP(E24,Listen!$B$2:$E$13,3,0),0)*(E74/E$80*E$12-E74))</f>
        <v>0</v>
      </c>
      <c r="F82" s="60">
        <f>IF(F$80=0,0,IFERROR(VLOOKUP(F24,Listen!$B$2:$E$13,3,0),0)*(F74/F$80*F$12-F74))</f>
        <v>0</v>
      </c>
      <c r="G82" s="60">
        <f>IF(G$80=0,0,IFERROR(VLOOKUP(G24,Listen!$B$2:$E$13,3,0),0)*(G74/G$80*G$12-G74))</f>
        <v>0</v>
      </c>
      <c r="H82" s="60">
        <f>IF(H$80=0,0,IFERROR(VLOOKUP(H24,Listen!$B$2:$E$13,3,0),0)*(H74/H$80*H$12-H74))</f>
        <v>0</v>
      </c>
      <c r="I82" s="60">
        <f>IF(I$80=0,0,IFERROR(VLOOKUP(I24,Listen!$B$2:$E$13,3,0),0)*(I74/I$80*I$12-I74))</f>
        <v>0</v>
      </c>
      <c r="J82" s="60">
        <f>IF(J$80=0,0,IFERROR(VLOOKUP(J24,Listen!$B$2:$E$13,3,0),0)*(J74/J$80*J$12-J74))</f>
        <v>0</v>
      </c>
      <c r="K82" s="60">
        <f>IF(K$80=0,0,IFERROR(VLOOKUP(K24,Listen!$B$2:$E$13,3,0),0)*(K74/K$80*K$12-K74))</f>
        <v>0</v>
      </c>
      <c r="L82" s="60">
        <f>IF(L$80=0,0,IFERROR(VLOOKUP(L24,Listen!$B$2:$E$13,3,0),0)*(L74/L$80*L$12-L74))</f>
        <v>0</v>
      </c>
      <c r="M82" s="60">
        <f>IF(M$80=0,0,IFERROR(VLOOKUP(M24,Listen!$B$2:$E$13,3,0),0)*(M74/M$80*M$12-M74))</f>
        <v>0</v>
      </c>
      <c r="N82" s="60">
        <f>IF(N$80=0,0,IFERROR(VLOOKUP(N24,Listen!$B$2:$E$13,3,0),0)*(N74/N$80*N$12-N74))</f>
        <v>0</v>
      </c>
      <c r="O82" s="60">
        <f>IF(O$80=0,0,IFERROR(VLOOKUP(O24,Listen!$B$2:$E$13,3,0),0)*(O74/O$80*O$12-O74))</f>
        <v>0</v>
      </c>
      <c r="P82" s="60">
        <f>IF(P$80=0,0,IFERROR(VLOOKUP(P24,Listen!$B$2:$E$13,3,0),0)*(P74/P$80*P$12-P74))</f>
        <v>0</v>
      </c>
      <c r="Q82" s="60">
        <f>IF(Q$80=0,0,IFERROR(VLOOKUP(Q24,Listen!$B$2:$E$13,3,0),0)*(Q74/Q$80*Q$12-Q74))</f>
        <v>0</v>
      </c>
      <c r="R82" s="60">
        <f>IF(R$80=0,0,IFERROR(VLOOKUP(R24,Listen!$B$2:$E$13,3,0),0)*(R74/R$80*R$12-R74))</f>
        <v>0</v>
      </c>
      <c r="S82" s="60">
        <f>IF(S$80=0,0,IFERROR(VLOOKUP(S24,Listen!$B$2:$E$13,3,0),0)*(S74/S$80*S$12-S74))</f>
        <v>0</v>
      </c>
      <c r="T82" s="60">
        <f>IF(T$80=0,0,IFERROR(VLOOKUP(T24,Listen!$B$2:$E$13,3,0),0)*(T74/T$80*T$12-T74))</f>
        <v>0</v>
      </c>
      <c r="U82" s="60">
        <f>IF(U$80=0,0,IFERROR(VLOOKUP(U24,Listen!$B$2:$E$13,3,0),0)*(U74/U$80*U$12-U74))</f>
        <v>0</v>
      </c>
      <c r="V82" s="60">
        <f>IF(V$80=0,0,IFERROR(VLOOKUP(V24,Listen!$B$2:$E$13,3,0),0)*(V74/V$80*V$12-V74))</f>
        <v>0</v>
      </c>
      <c r="W82" s="60">
        <f>IF(W$80=0,0,IFERROR(VLOOKUP(W24,Listen!$B$2:$E$13,3,0),0)*(W74/W$80*W$12-W74))</f>
        <v>0</v>
      </c>
      <c r="X82" s="60">
        <f>IF(X$80=0,0,IFERROR(VLOOKUP(X24,Listen!$B$2:$E$13,3,0),0)*(X74/X$80*X$12-X74))</f>
        <v>0</v>
      </c>
      <c r="Y82" s="77"/>
      <c r="Z82" s="78"/>
      <c r="AA82" s="79"/>
    </row>
    <row r="83" spans="3:27" s="75" customFormat="1" ht="13.5" hidden="1" x14ac:dyDescent="0.25">
      <c r="C83" s="103" t="str">
        <f>$C$75</f>
        <v>Zone 2</v>
      </c>
      <c r="D83" s="86" t="s">
        <v>145</v>
      </c>
      <c r="E83" s="87">
        <f>IF(E$80=0,0,IFERROR(VLOOKUP(E27,Listen!$B$2:$E$13,3,0),0)*(E75/E$80*E$12-E75))</f>
        <v>0</v>
      </c>
      <c r="F83" s="87">
        <f>IF(F$80=0,0,IFERROR(VLOOKUP(F27,Listen!$B$2:$E$13,3,0),0)*(F75/F$80*F$12-F75))</f>
        <v>0</v>
      </c>
      <c r="G83" s="87">
        <f>IF(G$80=0,0,IFERROR(VLOOKUP(G27,Listen!$B$2:$E$13,3,0),0)*(G75/G$80*G$12-G75))</f>
        <v>0</v>
      </c>
      <c r="H83" s="87">
        <f>IF(H$80=0,0,IFERROR(VLOOKUP(H27,Listen!$B$2:$E$13,3,0),0)*(H75/H$80*H$12-H75))</f>
        <v>0</v>
      </c>
      <c r="I83" s="87">
        <f>IF(I$80=0,0,IFERROR(VLOOKUP(I27,Listen!$B$2:$E$13,3,0),0)*(I75/I$80*I$12-I75))</f>
        <v>0</v>
      </c>
      <c r="J83" s="87">
        <f>IF(J$80=0,0,IFERROR(VLOOKUP(J27,Listen!$B$2:$E$13,3,0),0)*(J75/J$80*J$12-J75))</f>
        <v>0</v>
      </c>
      <c r="K83" s="87">
        <f>IF(K$80=0,0,IFERROR(VLOOKUP(K27,Listen!$B$2:$E$13,3,0),0)*(K75/K$80*K$12-K75))</f>
        <v>0</v>
      </c>
      <c r="L83" s="87">
        <f>IF(L$80=0,0,IFERROR(VLOOKUP(L27,Listen!$B$2:$E$13,3,0),0)*(L75/L$80*L$12-L75))</f>
        <v>0</v>
      </c>
      <c r="M83" s="87">
        <f>IF(M$80=0,0,IFERROR(VLOOKUP(M27,Listen!$B$2:$E$13,3,0),0)*(M75/M$80*M$12-M75))</f>
        <v>0</v>
      </c>
      <c r="N83" s="87">
        <f>IF(N$80=0,0,IFERROR(VLOOKUP(N27,Listen!$B$2:$E$13,3,0),0)*(N75/N$80*N$12-N75))</f>
        <v>0</v>
      </c>
      <c r="O83" s="87">
        <f>IF(O$80=0,0,IFERROR(VLOOKUP(O27,Listen!$B$2:$E$13,3,0),0)*(O75/O$80*O$12-O75))</f>
        <v>0</v>
      </c>
      <c r="P83" s="87">
        <f>IF(P$80=0,0,IFERROR(VLOOKUP(P27,Listen!$B$2:$E$13,3,0),0)*(P75/P$80*P$12-P75))</f>
        <v>0</v>
      </c>
      <c r="Q83" s="87">
        <f>IF(Q$80=0,0,IFERROR(VLOOKUP(Q27,Listen!$B$2:$E$13,3,0),0)*(Q75/Q$80*Q$12-Q75))</f>
        <v>0</v>
      </c>
      <c r="R83" s="87">
        <f>IF(R$80=0,0,IFERROR(VLOOKUP(R27,Listen!$B$2:$E$13,3,0),0)*(R75/R$80*R$12-R75))</f>
        <v>0</v>
      </c>
      <c r="S83" s="87">
        <f>IF(S$80=0,0,IFERROR(VLOOKUP(S27,Listen!$B$2:$E$13,3,0),0)*(S75/S$80*S$12-S75))</f>
        <v>0</v>
      </c>
      <c r="T83" s="87">
        <f>IF(T$80=0,0,IFERROR(VLOOKUP(T27,Listen!$B$2:$E$13,3,0),0)*(T75/T$80*T$12-T75))</f>
        <v>0</v>
      </c>
      <c r="U83" s="87">
        <f>IF(U$80=0,0,IFERROR(VLOOKUP(U27,Listen!$B$2:$E$13,3,0),0)*(U75/U$80*U$12-U75))</f>
        <v>0</v>
      </c>
      <c r="V83" s="87">
        <f>IF(V$80=0,0,IFERROR(VLOOKUP(V27,Listen!$B$2:$E$13,3,0),0)*(V75/V$80*V$12-V75))</f>
        <v>0</v>
      </c>
      <c r="W83" s="87">
        <f>IF(W$80=0,0,IFERROR(VLOOKUP(W27,Listen!$B$2:$E$13,3,0),0)*(W75/W$80*W$12-W75))</f>
        <v>0</v>
      </c>
      <c r="X83" s="87">
        <f>IF(X$80=0,0,IFERROR(VLOOKUP(X27,Listen!$B$2:$E$13,3,0),0)*(X75/X$80*X$12-X75))</f>
        <v>0</v>
      </c>
      <c r="Y83" s="77"/>
      <c r="Z83" s="78"/>
      <c r="AA83" s="79"/>
    </row>
    <row r="84" spans="3:27" s="75" customFormat="1" ht="13.5" hidden="1" x14ac:dyDescent="0.25">
      <c r="C84" s="103" t="str">
        <f>$C$76</f>
        <v>Zone 3</v>
      </c>
      <c r="D84" s="86" t="s">
        <v>145</v>
      </c>
      <c r="E84" s="87">
        <f>IF(E$80=0,0,IFERROR(VLOOKUP(E30,Listen!$B$2:$E$13,3,0),0)*(E76/E$80*E$12-E76))</f>
        <v>0</v>
      </c>
      <c r="F84" s="87">
        <f>IF(F$80=0,0,IFERROR(VLOOKUP(F30,Listen!$B$2:$E$13,3,0),0)*(F76/F$80*F$12-F76))</f>
        <v>0</v>
      </c>
      <c r="G84" s="87">
        <f>IF(G$80=0,0,IFERROR(VLOOKUP(G30,Listen!$B$2:$E$13,3,0),0)*(G76/G$80*G$12-G76))</f>
        <v>0</v>
      </c>
      <c r="H84" s="87">
        <f>IF(H$80=0,0,IFERROR(VLOOKUP(H30,Listen!$B$2:$E$13,3,0),0)*(H76/H$80*H$12-H76))</f>
        <v>0</v>
      </c>
      <c r="I84" s="87">
        <f>IF(I$80=0,0,IFERROR(VLOOKUP(I30,Listen!$B$2:$E$13,3,0),0)*(I76/I$80*I$12-I76))</f>
        <v>0</v>
      </c>
      <c r="J84" s="87">
        <f>IF(J$80=0,0,IFERROR(VLOOKUP(J30,Listen!$B$2:$E$13,3,0),0)*(J76/J$80*J$12-J76))</f>
        <v>0</v>
      </c>
      <c r="K84" s="87">
        <f>IF(K$80=0,0,IFERROR(VLOOKUP(K30,Listen!$B$2:$E$13,3,0),0)*(K76/K$80*K$12-K76))</f>
        <v>0</v>
      </c>
      <c r="L84" s="87">
        <f>IF(L$80=0,0,IFERROR(VLOOKUP(L30,Listen!$B$2:$E$13,3,0),0)*(L76/L$80*L$12-L76))</f>
        <v>0</v>
      </c>
      <c r="M84" s="87">
        <f>IF(M$80=0,0,IFERROR(VLOOKUP(M30,Listen!$B$2:$E$13,3,0),0)*(M76/M$80*M$12-M76))</f>
        <v>0</v>
      </c>
      <c r="N84" s="87">
        <f>IF(N$80=0,0,IFERROR(VLOOKUP(N30,Listen!$B$2:$E$13,3,0),0)*(N76/N$80*N$12-N76))</f>
        <v>0</v>
      </c>
      <c r="O84" s="87">
        <f>IF(O$80=0,0,IFERROR(VLOOKUP(O30,Listen!$B$2:$E$13,3,0),0)*(O76/O$80*O$12-O76))</f>
        <v>0</v>
      </c>
      <c r="P84" s="87">
        <f>IF(P$80=0,0,IFERROR(VLOOKUP(P30,Listen!$B$2:$E$13,3,0),0)*(P76/P$80*P$12-P76))</f>
        <v>0</v>
      </c>
      <c r="Q84" s="87">
        <f>IF(Q$80=0,0,IFERROR(VLOOKUP(Q30,Listen!$B$2:$E$13,3,0),0)*(Q76/Q$80*Q$12-Q76))</f>
        <v>0</v>
      </c>
      <c r="R84" s="87">
        <f>IF(R$80=0,0,IFERROR(VLOOKUP(R30,Listen!$B$2:$E$13,3,0),0)*(R76/R$80*R$12-R76))</f>
        <v>0</v>
      </c>
      <c r="S84" s="87">
        <f>IF(S$80=0,0,IFERROR(VLOOKUP(S30,Listen!$B$2:$E$13,3,0),0)*(S76/S$80*S$12-S76))</f>
        <v>0</v>
      </c>
      <c r="T84" s="87">
        <f>IF(T$80=0,0,IFERROR(VLOOKUP(T30,Listen!$B$2:$E$13,3,0),0)*(T76/T$80*T$12-T76))</f>
        <v>0</v>
      </c>
      <c r="U84" s="87">
        <f>IF(U$80=0,0,IFERROR(VLOOKUP(U30,Listen!$B$2:$E$13,3,0),0)*(U76/U$80*U$12-U76))</f>
        <v>0</v>
      </c>
      <c r="V84" s="87">
        <f>IF(V$80=0,0,IFERROR(VLOOKUP(V30,Listen!$B$2:$E$13,3,0),0)*(V76/V$80*V$12-V76))</f>
        <v>0</v>
      </c>
      <c r="W84" s="87">
        <f>IF(W$80=0,0,IFERROR(VLOOKUP(W30,Listen!$B$2:$E$13,3,0),0)*(W76/W$80*W$12-W76))</f>
        <v>0</v>
      </c>
      <c r="X84" s="87">
        <f>IF(X$80=0,0,IFERROR(VLOOKUP(X30,Listen!$B$2:$E$13,3,0),0)*(X76/X$80*X$12-X76))</f>
        <v>0</v>
      </c>
      <c r="Y84" s="77"/>
      <c r="Z84" s="78"/>
      <c r="AA84" s="79"/>
    </row>
    <row r="85" spans="3:27" s="75" customFormat="1" ht="13.5" hidden="1" x14ac:dyDescent="0.25">
      <c r="C85" s="103" t="str">
        <f>$C$77</f>
        <v>Zone 4</v>
      </c>
      <c r="D85" s="86" t="s">
        <v>145</v>
      </c>
      <c r="E85" s="87">
        <f>IF(E$80=0,0,IFERROR(VLOOKUP(E33,Listen!$B$2:$E$13,3,0),0)*(E77/E$80*E$12-E77))</f>
        <v>0</v>
      </c>
      <c r="F85" s="87">
        <f>IF(F$80=0,0,IFERROR(VLOOKUP(F33,Listen!$B$2:$E$13,3,0),0)*(F77/F$80*F$12-F77))</f>
        <v>0</v>
      </c>
      <c r="G85" s="87">
        <f>IF(G$80=0,0,IFERROR(VLOOKUP(G33,Listen!$B$2:$E$13,3,0),0)*(G77/G$80*G$12-G77))</f>
        <v>0</v>
      </c>
      <c r="H85" s="87">
        <f>IF(H$80=0,0,IFERROR(VLOOKUP(H33,Listen!$B$2:$E$13,3,0),0)*(H77/H$80*H$12-H77))</f>
        <v>0</v>
      </c>
      <c r="I85" s="87">
        <f>IF(I$80=0,0,IFERROR(VLOOKUP(I33,Listen!$B$2:$E$13,3,0),0)*(I77/I$80*I$12-I77))</f>
        <v>0</v>
      </c>
      <c r="J85" s="87">
        <f>IF(J$80=0,0,IFERROR(VLOOKUP(J33,Listen!$B$2:$E$13,3,0),0)*(J77/J$80*J$12-J77))</f>
        <v>0</v>
      </c>
      <c r="K85" s="87">
        <f>IF(K$80=0,0,IFERROR(VLOOKUP(K33,Listen!$B$2:$E$13,3,0),0)*(K77/K$80*K$12-K77))</f>
        <v>0</v>
      </c>
      <c r="L85" s="87">
        <f>IF(L$80=0,0,IFERROR(VLOOKUP(L33,Listen!$B$2:$E$13,3,0),0)*(L77/L$80*L$12-L77))</f>
        <v>0</v>
      </c>
      <c r="M85" s="87">
        <f>IF(M$80=0,0,IFERROR(VLOOKUP(M33,Listen!$B$2:$E$13,3,0),0)*(M77/M$80*M$12-M77))</f>
        <v>0</v>
      </c>
      <c r="N85" s="87">
        <f>IF(N$80=0,0,IFERROR(VLOOKUP(N33,Listen!$B$2:$E$13,3,0),0)*(N77/N$80*N$12-N77))</f>
        <v>0</v>
      </c>
      <c r="O85" s="87">
        <f>IF(O$80=0,0,IFERROR(VLOOKUP(O33,Listen!$B$2:$E$13,3,0),0)*(O77/O$80*O$12-O77))</f>
        <v>0</v>
      </c>
      <c r="P85" s="87">
        <f>IF(P$80=0,0,IFERROR(VLOOKUP(P33,Listen!$B$2:$E$13,3,0),0)*(P77/P$80*P$12-P77))</f>
        <v>0</v>
      </c>
      <c r="Q85" s="87">
        <f>IF(Q$80=0,0,IFERROR(VLOOKUP(Q33,Listen!$B$2:$E$13,3,0),0)*(Q77/Q$80*Q$12-Q77))</f>
        <v>0</v>
      </c>
      <c r="R85" s="87">
        <f>IF(R$80=0,0,IFERROR(VLOOKUP(R33,Listen!$B$2:$E$13,3,0),0)*(R77/R$80*R$12-R77))</f>
        <v>0</v>
      </c>
      <c r="S85" s="87">
        <f>IF(S$80=0,0,IFERROR(VLOOKUP(S33,Listen!$B$2:$E$13,3,0),0)*(S77/S$80*S$12-S77))</f>
        <v>0</v>
      </c>
      <c r="T85" s="87">
        <f>IF(T$80=0,0,IFERROR(VLOOKUP(T33,Listen!$B$2:$E$13,3,0),0)*(T77/T$80*T$12-T77))</f>
        <v>0</v>
      </c>
      <c r="U85" s="87">
        <f>IF(U$80=0,0,IFERROR(VLOOKUP(U33,Listen!$B$2:$E$13,3,0),0)*(U77/U$80*U$12-U77))</f>
        <v>0</v>
      </c>
      <c r="V85" s="87">
        <f>IF(V$80=0,0,IFERROR(VLOOKUP(V33,Listen!$B$2:$E$13,3,0),0)*(V77/V$80*V$12-V77))</f>
        <v>0</v>
      </c>
      <c r="W85" s="87">
        <f>IF(W$80=0,0,IFERROR(VLOOKUP(W33,Listen!$B$2:$E$13,3,0),0)*(W77/W$80*W$12-W77))</f>
        <v>0</v>
      </c>
      <c r="X85" s="87">
        <f>IF(X$80=0,0,IFERROR(VLOOKUP(X33,Listen!$B$2:$E$13,3,0),0)*(X77/X$80*X$12-X77))</f>
        <v>0</v>
      </c>
      <c r="Y85" s="77"/>
      <c r="Z85" s="78"/>
      <c r="AA85" s="79"/>
    </row>
    <row r="86" spans="3:27" s="75" customFormat="1" ht="13.5" hidden="1" x14ac:dyDescent="0.25">
      <c r="C86" s="103" t="str">
        <f>$C$78</f>
        <v>Zone 5</v>
      </c>
      <c r="D86" s="86" t="s">
        <v>145</v>
      </c>
      <c r="E86" s="87">
        <f>IF(E$80=0,0,IFERROR(VLOOKUP(E36,Listen!$B$2:$E$13,3,0),0)*(E78/E$80*E$12-E78))</f>
        <v>0</v>
      </c>
      <c r="F86" s="87">
        <f>IF(F$80=0,0,IFERROR(VLOOKUP(F36,Listen!$B$2:$E$13,3,0),0)*(F78/F$80*F$12-F78))</f>
        <v>0</v>
      </c>
      <c r="G86" s="87">
        <f>IF(G$80=0,0,IFERROR(VLOOKUP(G36,Listen!$B$2:$E$13,3,0),0)*(G78/G$80*G$12-G78))</f>
        <v>0</v>
      </c>
      <c r="H86" s="87">
        <f>IF(H$80=0,0,IFERROR(VLOOKUP(H36,Listen!$B$2:$E$13,3,0),0)*(H78/H$80*H$12-H78))</f>
        <v>0</v>
      </c>
      <c r="I86" s="87">
        <f>IF(I$80=0,0,IFERROR(VLOOKUP(I36,Listen!$B$2:$E$13,3,0),0)*(I78/I$80*I$12-I78))</f>
        <v>0</v>
      </c>
      <c r="J86" s="87">
        <f>IF(J$80=0,0,IFERROR(VLOOKUP(J36,Listen!$B$2:$E$13,3,0),0)*(J78/J$80*J$12-J78))</f>
        <v>0</v>
      </c>
      <c r="K86" s="87">
        <f>IF(K$80=0,0,IFERROR(VLOOKUP(K36,Listen!$B$2:$E$13,3,0),0)*(K78/K$80*K$12-K78))</f>
        <v>0</v>
      </c>
      <c r="L86" s="87">
        <f>IF(L$80=0,0,IFERROR(VLOOKUP(L36,Listen!$B$2:$E$13,3,0),0)*(L78/L$80*L$12-L78))</f>
        <v>0</v>
      </c>
      <c r="M86" s="87">
        <f>IF(M$80=0,0,IFERROR(VLOOKUP(M36,Listen!$B$2:$E$13,3,0),0)*(M78/M$80*M$12-M78))</f>
        <v>0</v>
      </c>
      <c r="N86" s="87">
        <f>IF(N$80=0,0,IFERROR(VLOOKUP(N36,Listen!$B$2:$E$13,3,0),0)*(N78/N$80*N$12-N78))</f>
        <v>0</v>
      </c>
      <c r="O86" s="87">
        <f>IF(O$80=0,0,IFERROR(VLOOKUP(O36,Listen!$B$2:$E$13,3,0),0)*(O78/O$80*O$12-O78))</f>
        <v>0</v>
      </c>
      <c r="P86" s="87">
        <f>IF(P$80=0,0,IFERROR(VLOOKUP(P36,Listen!$B$2:$E$13,3,0),0)*(P78/P$80*P$12-P78))</f>
        <v>0</v>
      </c>
      <c r="Q86" s="87">
        <f>IF(Q$80=0,0,IFERROR(VLOOKUP(Q36,Listen!$B$2:$E$13,3,0),0)*(Q78/Q$80*Q$12-Q78))</f>
        <v>0</v>
      </c>
      <c r="R86" s="87">
        <f>IF(R$80=0,0,IFERROR(VLOOKUP(R36,Listen!$B$2:$E$13,3,0),0)*(R78/R$80*R$12-R78))</f>
        <v>0</v>
      </c>
      <c r="S86" s="87">
        <f>IF(S$80=0,0,IFERROR(VLOOKUP(S36,Listen!$B$2:$E$13,3,0),0)*(S78/S$80*S$12-S78))</f>
        <v>0</v>
      </c>
      <c r="T86" s="87">
        <f>IF(T$80=0,0,IFERROR(VLOOKUP(T36,Listen!$B$2:$E$13,3,0),0)*(T78/T$80*T$12-T78))</f>
        <v>0</v>
      </c>
      <c r="U86" s="87">
        <f>IF(U$80=0,0,IFERROR(VLOOKUP(U36,Listen!$B$2:$E$13,3,0),0)*(U78/U$80*U$12-U78))</f>
        <v>0</v>
      </c>
      <c r="V86" s="87">
        <f>IF(V$80=0,0,IFERROR(VLOOKUP(V36,Listen!$B$2:$E$13,3,0),0)*(V78/V$80*V$12-V78))</f>
        <v>0</v>
      </c>
      <c r="W86" s="87">
        <f>IF(W$80=0,0,IFERROR(VLOOKUP(W36,Listen!$B$2:$E$13,3,0),0)*(W78/W$80*W$12-W78))</f>
        <v>0</v>
      </c>
      <c r="X86" s="87">
        <f>IF(X$80=0,0,IFERROR(VLOOKUP(X36,Listen!$B$2:$E$13,3,0),0)*(X78/X$80*X$12-X78))</f>
        <v>0</v>
      </c>
      <c r="Y86" s="77"/>
      <c r="Z86" s="78"/>
      <c r="AA86" s="79"/>
    </row>
    <row r="87" spans="3:27" s="75" customFormat="1" ht="13.5" hidden="1" x14ac:dyDescent="0.25">
      <c r="C87" s="103" t="str">
        <f>$C$79</f>
        <v>Zone 6</v>
      </c>
      <c r="D87" s="86" t="s">
        <v>145</v>
      </c>
      <c r="E87" s="87">
        <f>IF(E$80=0,0,IFERROR(VLOOKUP(E39,Listen!$B$2:$E$13,3,0),0)*(E79/E$80*E$12-E79))</f>
        <v>0</v>
      </c>
      <c r="F87" s="87">
        <f>IF(F$80=0,0,IFERROR(VLOOKUP(F39,Listen!$B$2:$E$13,3,0),0)*(F79/F$80*F$12-F79))</f>
        <v>0</v>
      </c>
      <c r="G87" s="87">
        <f>IF(G$80=0,0,IFERROR(VLOOKUP(G39,Listen!$B$2:$E$13,3,0),0)*(G79/G$80*G$12-G79))</f>
        <v>0</v>
      </c>
      <c r="H87" s="87">
        <f>IF(H$80=0,0,IFERROR(VLOOKUP(H39,Listen!$B$2:$E$13,3,0),0)*(H79/H$80*H$12-H79))</f>
        <v>0</v>
      </c>
      <c r="I87" s="87">
        <f>IF(I$80=0,0,IFERROR(VLOOKUP(I39,Listen!$B$2:$E$13,3,0),0)*(I79/I$80*I$12-I79))</f>
        <v>0</v>
      </c>
      <c r="J87" s="87">
        <f>IF(J$80=0,0,IFERROR(VLOOKUP(J39,Listen!$B$2:$E$13,3,0),0)*(J79/J$80*J$12-J79))</f>
        <v>0</v>
      </c>
      <c r="K87" s="87">
        <f>IF(K$80=0,0,IFERROR(VLOOKUP(K39,Listen!$B$2:$E$13,3,0),0)*(K79/K$80*K$12-K79))</f>
        <v>0</v>
      </c>
      <c r="L87" s="87">
        <f>IF(L$80=0,0,IFERROR(VLOOKUP(L39,Listen!$B$2:$E$13,3,0),0)*(L79/L$80*L$12-L79))</f>
        <v>0</v>
      </c>
      <c r="M87" s="87">
        <f>IF(M$80=0,0,IFERROR(VLOOKUP(M39,Listen!$B$2:$E$13,3,0),0)*(M79/M$80*M$12-M79))</f>
        <v>0</v>
      </c>
      <c r="N87" s="87">
        <f>IF(N$80=0,0,IFERROR(VLOOKUP(N39,Listen!$B$2:$E$13,3,0),0)*(N79/N$80*N$12-N79))</f>
        <v>0</v>
      </c>
      <c r="O87" s="87">
        <f>IF(O$80=0,0,IFERROR(VLOOKUP(O39,Listen!$B$2:$E$13,3,0),0)*(O79/O$80*O$12-O79))</f>
        <v>0</v>
      </c>
      <c r="P87" s="87">
        <f>IF(P$80=0,0,IFERROR(VLOOKUP(P39,Listen!$B$2:$E$13,3,0),0)*(P79/P$80*P$12-P79))</f>
        <v>0</v>
      </c>
      <c r="Q87" s="87">
        <f>IF(Q$80=0,0,IFERROR(VLOOKUP(Q39,Listen!$B$2:$E$13,3,0),0)*(Q79/Q$80*Q$12-Q79))</f>
        <v>0</v>
      </c>
      <c r="R87" s="87">
        <f>IF(R$80=0,0,IFERROR(VLOOKUP(R39,Listen!$B$2:$E$13,3,0),0)*(R79/R$80*R$12-R79))</f>
        <v>0</v>
      </c>
      <c r="S87" s="87">
        <f>IF(S$80=0,0,IFERROR(VLOOKUP(S39,Listen!$B$2:$E$13,3,0),0)*(S79/S$80*S$12-S79))</f>
        <v>0</v>
      </c>
      <c r="T87" s="87">
        <f>IF(T$80=0,0,IFERROR(VLOOKUP(T39,Listen!$B$2:$E$13,3,0),0)*(T79/T$80*T$12-T79))</f>
        <v>0</v>
      </c>
      <c r="U87" s="87">
        <f>IF(U$80=0,0,IFERROR(VLOOKUP(U39,Listen!$B$2:$E$13,3,0),0)*(U79/U$80*U$12-U79))</f>
        <v>0</v>
      </c>
      <c r="V87" s="87">
        <f>IF(V$80=0,0,IFERROR(VLOOKUP(V39,Listen!$B$2:$E$13,3,0),0)*(V79/V$80*V$12-V79))</f>
        <v>0</v>
      </c>
      <c r="W87" s="87">
        <f>IF(W$80=0,0,IFERROR(VLOOKUP(W39,Listen!$B$2:$E$13,3,0),0)*(W79/W$80*W$12-W79))</f>
        <v>0</v>
      </c>
      <c r="X87" s="87">
        <f>IF(X$80=0,0,IFERROR(VLOOKUP(X39,Listen!$B$2:$E$13,3,0),0)*(X79/X$80*X$12-X79))</f>
        <v>0</v>
      </c>
      <c r="Y87" s="77"/>
      <c r="Z87" s="78"/>
      <c r="AA87" s="79"/>
    </row>
    <row r="88" spans="3:27" s="75" customFormat="1" ht="13.5" hidden="1" x14ac:dyDescent="0.25">
      <c r="C88" s="105" t="str">
        <f>Uebersetzung!$D$40&amp;" "&amp;Uebersetzung!$D$155&amp;" "</f>
        <v xml:space="preserve">Exigence froid </v>
      </c>
      <c r="D88" s="88" t="s">
        <v>145</v>
      </c>
      <c r="E88" s="89">
        <f>SUM(E82:E87)</f>
        <v>0</v>
      </c>
      <c r="F88" s="89">
        <f t="shared" ref="F88:X88" si="17">SUM(F82:F87)</f>
        <v>0</v>
      </c>
      <c r="G88" s="89">
        <f t="shared" si="17"/>
        <v>0</v>
      </c>
      <c r="H88" s="89">
        <f t="shared" si="17"/>
        <v>0</v>
      </c>
      <c r="I88" s="89">
        <f t="shared" si="17"/>
        <v>0</v>
      </c>
      <c r="J88" s="89">
        <f t="shared" si="17"/>
        <v>0</v>
      </c>
      <c r="K88" s="89">
        <f t="shared" si="17"/>
        <v>0</v>
      </c>
      <c r="L88" s="89">
        <f t="shared" si="17"/>
        <v>0</v>
      </c>
      <c r="M88" s="89">
        <f t="shared" si="17"/>
        <v>0</v>
      </c>
      <c r="N88" s="89">
        <f t="shared" si="17"/>
        <v>0</v>
      </c>
      <c r="O88" s="89">
        <f t="shared" si="17"/>
        <v>0</v>
      </c>
      <c r="P88" s="89">
        <f t="shared" si="17"/>
        <v>0</v>
      </c>
      <c r="Q88" s="89">
        <f t="shared" si="17"/>
        <v>0</v>
      </c>
      <c r="R88" s="89">
        <f t="shared" si="17"/>
        <v>0</v>
      </c>
      <c r="S88" s="89">
        <f t="shared" si="17"/>
        <v>0</v>
      </c>
      <c r="T88" s="89">
        <f t="shared" si="17"/>
        <v>0</v>
      </c>
      <c r="U88" s="89">
        <f t="shared" si="17"/>
        <v>0</v>
      </c>
      <c r="V88" s="89">
        <f t="shared" si="17"/>
        <v>0</v>
      </c>
      <c r="W88" s="89">
        <f t="shared" si="17"/>
        <v>0</v>
      </c>
      <c r="X88" s="106">
        <f t="shared" si="17"/>
        <v>0</v>
      </c>
      <c r="Y88" s="77"/>
      <c r="Z88" s="90">
        <f>SUM(E88:X88)</f>
        <v>0</v>
      </c>
      <c r="AA88" s="91" t="str">
        <f>Uebersetzung!D$38</f>
        <v>Total</v>
      </c>
    </row>
    <row r="89" spans="3:27" s="75" customFormat="1" ht="19.350000000000001" hidden="1" customHeight="1" x14ac:dyDescent="0.2">
      <c r="C89" s="99" t="str">
        <f>Uebersetzung!$D$40&amp;" "&amp;Uebersetzung!$D$154&amp;" ("&amp;Uebersetzung!D159&amp;")"</f>
        <v>Exigence chaud (SRE)</v>
      </c>
      <c r="D89" s="77"/>
      <c r="E89" s="71"/>
      <c r="F89" s="71"/>
      <c r="G89" s="71"/>
      <c r="H89" s="71"/>
      <c r="I89" s="71"/>
      <c r="J89" s="71"/>
      <c r="K89" s="71"/>
      <c r="L89" s="71"/>
      <c r="M89" s="71"/>
      <c r="N89" s="71"/>
      <c r="O89" s="71"/>
      <c r="P89" s="71"/>
      <c r="Q89" s="71"/>
      <c r="R89" s="71"/>
      <c r="S89" s="71"/>
      <c r="T89" s="71"/>
      <c r="U89" s="71"/>
      <c r="V89" s="71"/>
      <c r="W89" s="71"/>
      <c r="X89" s="100"/>
      <c r="Y89" s="77"/>
      <c r="Z89" s="78"/>
      <c r="AA89" s="79"/>
    </row>
    <row r="90" spans="3:27" s="75" customFormat="1" ht="13.5" hidden="1" x14ac:dyDescent="0.25">
      <c r="C90" s="101" t="str">
        <f>$C$74</f>
        <v>Zone 1</v>
      </c>
      <c r="D90" s="84" t="s">
        <v>145</v>
      </c>
      <c r="E90" s="61">
        <f>IFERROR(VLOOKUP(E24,Listen!$B$2:$E$13,2,0),0)*E74</f>
        <v>0</v>
      </c>
      <c r="F90" s="60">
        <f>IFERROR(VLOOKUP(F24,Listen!$B$2:$E$13,2,0),0)*F74</f>
        <v>0</v>
      </c>
      <c r="G90" s="60">
        <f>IFERROR(VLOOKUP(G24,Listen!$B$2:$E$13,2,0),0)*G74</f>
        <v>0</v>
      </c>
      <c r="H90" s="60">
        <f>IFERROR(VLOOKUP(H24,Listen!$B$2:$E$13,2,0),0)*H74</f>
        <v>0</v>
      </c>
      <c r="I90" s="60">
        <f>IFERROR(VLOOKUP(I24,Listen!$B$2:$E$13,2,0),0)*I74</f>
        <v>0</v>
      </c>
      <c r="J90" s="60">
        <f>IFERROR(VLOOKUP(J24,Listen!$B$2:$E$13,2,0),0)*J74</f>
        <v>0</v>
      </c>
      <c r="K90" s="60">
        <f>IFERROR(VLOOKUP(K24,Listen!$B$2:$E$13,2,0),0)*K74</f>
        <v>0</v>
      </c>
      <c r="L90" s="60">
        <f>IFERROR(VLOOKUP(L24,Listen!$B$2:$E$13,2,0),0)*L74</f>
        <v>0</v>
      </c>
      <c r="M90" s="60">
        <f>IFERROR(VLOOKUP(M24,Listen!$B$2:$E$13,2,0),0)*M74</f>
        <v>0</v>
      </c>
      <c r="N90" s="60">
        <f>IFERROR(VLOOKUP(N24,Listen!$B$2:$E$13,2,0),0)*N74</f>
        <v>0</v>
      </c>
      <c r="O90" s="60">
        <f>IFERROR(VLOOKUP(O24,Listen!$B$2:$E$13,2,0),0)*O74</f>
        <v>0</v>
      </c>
      <c r="P90" s="60">
        <f>IFERROR(VLOOKUP(P24,Listen!$B$2:$E$13,2,0),0)*P74</f>
        <v>0</v>
      </c>
      <c r="Q90" s="60">
        <f>IFERROR(VLOOKUP(Q24,Listen!$B$2:$E$13,2,0),0)*Q74</f>
        <v>0</v>
      </c>
      <c r="R90" s="60">
        <f>IFERROR(VLOOKUP(R24,Listen!$B$2:$E$13,2,0),0)*R74</f>
        <v>0</v>
      </c>
      <c r="S90" s="60">
        <f>IFERROR(VLOOKUP(S24,Listen!$B$2:$E$13,2,0),0)*S74</f>
        <v>0</v>
      </c>
      <c r="T90" s="60">
        <f>IFERROR(VLOOKUP(T24,Listen!$B$2:$E$13,2,0),0)*T74</f>
        <v>0</v>
      </c>
      <c r="U90" s="60">
        <f>IFERROR(VLOOKUP(U24,Listen!$B$2:$E$13,2,0),0)*U74</f>
        <v>0</v>
      </c>
      <c r="V90" s="60">
        <f>IFERROR(VLOOKUP(V24,Listen!$B$2:$E$13,2,0),0)*V74</f>
        <v>0</v>
      </c>
      <c r="W90" s="60">
        <f>IFERROR(VLOOKUP(W24,Listen!$B$2:$E$13,2,0),0)*W74</f>
        <v>0</v>
      </c>
      <c r="X90" s="102">
        <f>IFERROR(VLOOKUP(X24,Listen!$B$2:$E$13,2,0),0)*X74</f>
        <v>0</v>
      </c>
      <c r="Y90" s="77"/>
      <c r="Z90" s="78"/>
      <c r="AA90" s="79"/>
    </row>
    <row r="91" spans="3:27" s="75" customFormat="1" ht="13.5" hidden="1" x14ac:dyDescent="0.25">
      <c r="C91" s="103" t="str">
        <f>$C$75</f>
        <v>Zone 2</v>
      </c>
      <c r="D91" s="86" t="s">
        <v>145</v>
      </c>
      <c r="E91" s="69">
        <f>IFERROR(VLOOKUP(E27,Listen!$B$2:$E$13,2,0),0)*E75</f>
        <v>0</v>
      </c>
      <c r="F91" s="87">
        <f>IFERROR(VLOOKUP(F27,Listen!$B$2:$E$13,2,0),0)*F75</f>
        <v>0</v>
      </c>
      <c r="G91" s="87">
        <f>IFERROR(VLOOKUP(G27,Listen!$B$2:$E$13,2,0),0)*G75</f>
        <v>0</v>
      </c>
      <c r="H91" s="87">
        <f>IFERROR(VLOOKUP(H27,Listen!$B$2:$E$13,2,0),0)*H75</f>
        <v>0</v>
      </c>
      <c r="I91" s="87">
        <f>IFERROR(VLOOKUP(I27,Listen!$B$2:$E$13,2,0),0)*I75</f>
        <v>0</v>
      </c>
      <c r="J91" s="87">
        <f>IFERROR(VLOOKUP(J27,Listen!$B$2:$E$13,2,0),0)*J75</f>
        <v>0</v>
      </c>
      <c r="K91" s="87">
        <f>IFERROR(VLOOKUP(K27,Listen!$B$2:$E$13,2,0),0)*K75</f>
        <v>0</v>
      </c>
      <c r="L91" s="87">
        <f>IFERROR(VLOOKUP(L27,Listen!$B$2:$E$13,2,0),0)*L75</f>
        <v>0</v>
      </c>
      <c r="M91" s="87">
        <f>IFERROR(VLOOKUP(M27,Listen!$B$2:$E$13,2,0),0)*M75</f>
        <v>0</v>
      </c>
      <c r="N91" s="87">
        <f>IFERROR(VLOOKUP(N27,Listen!$B$2:$E$13,2,0),0)*N75</f>
        <v>0</v>
      </c>
      <c r="O91" s="87">
        <f>IFERROR(VLOOKUP(O27,Listen!$B$2:$E$13,2,0),0)*O75</f>
        <v>0</v>
      </c>
      <c r="P91" s="87">
        <f>IFERROR(VLOOKUP(P27,Listen!$B$2:$E$13,2,0),0)*P75</f>
        <v>0</v>
      </c>
      <c r="Q91" s="87">
        <f>IFERROR(VLOOKUP(Q27,Listen!$B$2:$E$13,2,0),0)*Q75</f>
        <v>0</v>
      </c>
      <c r="R91" s="87">
        <f>IFERROR(VLOOKUP(R27,Listen!$B$2:$E$13,2,0),0)*R75</f>
        <v>0</v>
      </c>
      <c r="S91" s="87">
        <f>IFERROR(VLOOKUP(S27,Listen!$B$2:$E$13,2,0),0)*S75</f>
        <v>0</v>
      </c>
      <c r="T91" s="87">
        <f>IFERROR(VLOOKUP(T27,Listen!$B$2:$E$13,2,0),0)*T75</f>
        <v>0</v>
      </c>
      <c r="U91" s="87">
        <f>IFERROR(VLOOKUP(U27,Listen!$B$2:$E$13,2,0),0)*U75</f>
        <v>0</v>
      </c>
      <c r="V91" s="87">
        <f>IFERROR(VLOOKUP(V27,Listen!$B$2:$E$13,2,0),0)*V75</f>
        <v>0</v>
      </c>
      <c r="W91" s="87">
        <f>IFERROR(VLOOKUP(W27,Listen!$B$2:$E$13,2,0),0)*W75</f>
        <v>0</v>
      </c>
      <c r="X91" s="104">
        <f>IFERROR(VLOOKUP(X27,Listen!$B$2:$E$13,2,0),0)*X75</f>
        <v>0</v>
      </c>
      <c r="Y91" s="77"/>
      <c r="Z91" s="78"/>
      <c r="AA91" s="79"/>
    </row>
    <row r="92" spans="3:27" s="75" customFormat="1" ht="13.5" hidden="1" x14ac:dyDescent="0.25">
      <c r="C92" s="103" t="str">
        <f>$C$76</f>
        <v>Zone 3</v>
      </c>
      <c r="D92" s="86" t="s">
        <v>145</v>
      </c>
      <c r="E92" s="69">
        <f>IFERROR(VLOOKUP(E30,Listen!$B$2:$E$13,2,0),0)*E76</f>
        <v>0</v>
      </c>
      <c r="F92" s="87">
        <f>IFERROR(VLOOKUP(F30,Listen!$B$2:$E$13,2,0),0)*F76</f>
        <v>0</v>
      </c>
      <c r="G92" s="87">
        <f>IFERROR(VLOOKUP(G30,Listen!$B$2:$E$13,2,0),0)*G76</f>
        <v>0</v>
      </c>
      <c r="H92" s="87">
        <f>IFERROR(VLOOKUP(H30,Listen!$B$2:$E$13,2,0),0)*H76</f>
        <v>0</v>
      </c>
      <c r="I92" s="87">
        <f>IFERROR(VLOOKUP(I30,Listen!$B$2:$E$13,2,0),0)*I76</f>
        <v>0</v>
      </c>
      <c r="J92" s="87">
        <f>IFERROR(VLOOKUP(J30,Listen!$B$2:$E$13,2,0),0)*J76</f>
        <v>0</v>
      </c>
      <c r="K92" s="87">
        <f>IFERROR(VLOOKUP(K30,Listen!$B$2:$E$13,2,0),0)*K76</f>
        <v>0</v>
      </c>
      <c r="L92" s="87">
        <f>IFERROR(VLOOKUP(L30,Listen!$B$2:$E$13,2,0),0)*L76</f>
        <v>0</v>
      </c>
      <c r="M92" s="87">
        <f>IFERROR(VLOOKUP(M30,Listen!$B$2:$E$13,2,0),0)*M76</f>
        <v>0</v>
      </c>
      <c r="N92" s="87">
        <f>IFERROR(VLOOKUP(N30,Listen!$B$2:$E$13,2,0),0)*N76</f>
        <v>0</v>
      </c>
      <c r="O92" s="87">
        <f>IFERROR(VLOOKUP(O30,Listen!$B$2:$E$13,2,0),0)*O76</f>
        <v>0</v>
      </c>
      <c r="P92" s="87">
        <f>IFERROR(VLOOKUP(P30,Listen!$B$2:$E$13,2,0),0)*P76</f>
        <v>0</v>
      </c>
      <c r="Q92" s="87">
        <f>IFERROR(VLOOKUP(Q30,Listen!$B$2:$E$13,2,0),0)*Q76</f>
        <v>0</v>
      </c>
      <c r="R92" s="87">
        <f>IFERROR(VLOOKUP(R30,Listen!$B$2:$E$13,2,0),0)*R76</f>
        <v>0</v>
      </c>
      <c r="S92" s="87">
        <f>IFERROR(VLOOKUP(S30,Listen!$B$2:$E$13,2,0),0)*S76</f>
        <v>0</v>
      </c>
      <c r="T92" s="87">
        <f>IFERROR(VLOOKUP(T30,Listen!$B$2:$E$13,2,0),0)*T76</f>
        <v>0</v>
      </c>
      <c r="U92" s="87">
        <f>IFERROR(VLOOKUP(U30,Listen!$B$2:$E$13,2,0),0)*U76</f>
        <v>0</v>
      </c>
      <c r="V92" s="87">
        <f>IFERROR(VLOOKUP(V30,Listen!$B$2:$E$13,2,0),0)*V76</f>
        <v>0</v>
      </c>
      <c r="W92" s="87">
        <f>IFERROR(VLOOKUP(W30,Listen!$B$2:$E$13,2,0),0)*W76</f>
        <v>0</v>
      </c>
      <c r="X92" s="104">
        <f>IFERROR(VLOOKUP(X30,Listen!$B$2:$E$13,2,0),0)*X76</f>
        <v>0</v>
      </c>
      <c r="Y92" s="77"/>
      <c r="Z92" s="78"/>
      <c r="AA92" s="79"/>
    </row>
    <row r="93" spans="3:27" s="75" customFormat="1" ht="13.5" hidden="1" x14ac:dyDescent="0.25">
      <c r="C93" s="103" t="str">
        <f>$C$77</f>
        <v>Zone 4</v>
      </c>
      <c r="D93" s="86" t="s">
        <v>145</v>
      </c>
      <c r="E93" s="69">
        <f>IFERROR(VLOOKUP(E33,Listen!$B$2:$E$13,2,0),0)*E77</f>
        <v>0</v>
      </c>
      <c r="F93" s="87">
        <f>IFERROR(VLOOKUP(F33,Listen!$B$2:$E$13,2,0),0)*F77</f>
        <v>0</v>
      </c>
      <c r="G93" s="87">
        <f>IFERROR(VLOOKUP(G33,Listen!$B$2:$E$13,2,0),0)*G77</f>
        <v>0</v>
      </c>
      <c r="H93" s="87">
        <f>IFERROR(VLOOKUP(H33,Listen!$B$2:$E$13,2,0),0)*H77</f>
        <v>0</v>
      </c>
      <c r="I93" s="87">
        <f>IFERROR(VLOOKUP(I33,Listen!$B$2:$E$13,2,0),0)*I77</f>
        <v>0</v>
      </c>
      <c r="J93" s="87">
        <f>IFERROR(VLOOKUP(J33,Listen!$B$2:$E$13,2,0),0)*J77</f>
        <v>0</v>
      </c>
      <c r="K93" s="87">
        <f>IFERROR(VLOOKUP(K33,Listen!$B$2:$E$13,2,0),0)*K77</f>
        <v>0</v>
      </c>
      <c r="L93" s="87">
        <f>IFERROR(VLOOKUP(L33,Listen!$B$2:$E$13,2,0),0)*L77</f>
        <v>0</v>
      </c>
      <c r="M93" s="87">
        <f>IFERROR(VLOOKUP(M33,Listen!$B$2:$E$13,2,0),0)*M77</f>
        <v>0</v>
      </c>
      <c r="N93" s="87">
        <f>IFERROR(VLOOKUP(N33,Listen!$B$2:$E$13,2,0),0)*N77</f>
        <v>0</v>
      </c>
      <c r="O93" s="87">
        <f>IFERROR(VLOOKUP(O33,Listen!$B$2:$E$13,2,0),0)*O77</f>
        <v>0</v>
      </c>
      <c r="P93" s="87">
        <f>IFERROR(VLOOKUP(P33,Listen!$B$2:$E$13,2,0),0)*P77</f>
        <v>0</v>
      </c>
      <c r="Q93" s="87">
        <f>IFERROR(VLOOKUP(Q33,Listen!$B$2:$E$13,2,0),0)*Q77</f>
        <v>0</v>
      </c>
      <c r="R93" s="87">
        <f>IFERROR(VLOOKUP(R33,Listen!$B$2:$E$13,2,0),0)*R77</f>
        <v>0</v>
      </c>
      <c r="S93" s="87">
        <f>IFERROR(VLOOKUP(S33,Listen!$B$2:$E$13,2,0),0)*S77</f>
        <v>0</v>
      </c>
      <c r="T93" s="87">
        <f>IFERROR(VLOOKUP(T33,Listen!$B$2:$E$13,2,0),0)*T77</f>
        <v>0</v>
      </c>
      <c r="U93" s="87">
        <f>IFERROR(VLOOKUP(U33,Listen!$B$2:$E$13,2,0),0)*U77</f>
        <v>0</v>
      </c>
      <c r="V93" s="87">
        <f>IFERROR(VLOOKUP(V33,Listen!$B$2:$E$13,2,0),0)*V77</f>
        <v>0</v>
      </c>
      <c r="W93" s="87">
        <f>IFERROR(VLOOKUP(W33,Listen!$B$2:$E$13,2,0),0)*W77</f>
        <v>0</v>
      </c>
      <c r="X93" s="104">
        <f>IFERROR(VLOOKUP(X33,Listen!$B$2:$E$13,2,0),0)*X77</f>
        <v>0</v>
      </c>
      <c r="Y93" s="77"/>
      <c r="Z93" s="78"/>
      <c r="AA93" s="79"/>
    </row>
    <row r="94" spans="3:27" s="75" customFormat="1" ht="13.5" hidden="1" x14ac:dyDescent="0.25">
      <c r="C94" s="103" t="str">
        <f>$C$78</f>
        <v>Zone 5</v>
      </c>
      <c r="D94" s="86" t="s">
        <v>145</v>
      </c>
      <c r="E94" s="69">
        <f>IFERROR(VLOOKUP(E36,Listen!$B$2:$E$13,2,0),0)*E78</f>
        <v>0</v>
      </c>
      <c r="F94" s="87">
        <f>IFERROR(VLOOKUP(F36,Listen!$B$2:$E$13,2,0),0)*F78</f>
        <v>0</v>
      </c>
      <c r="G94" s="87">
        <f>IFERROR(VLOOKUP(G36,Listen!$B$2:$E$13,2,0),0)*G78</f>
        <v>0</v>
      </c>
      <c r="H94" s="87">
        <f>IFERROR(VLOOKUP(H36,Listen!$B$2:$E$13,2,0),0)*H78</f>
        <v>0</v>
      </c>
      <c r="I94" s="87">
        <f>IFERROR(VLOOKUP(I36,Listen!$B$2:$E$13,2,0),0)*I78</f>
        <v>0</v>
      </c>
      <c r="J94" s="87">
        <f>IFERROR(VLOOKUP(J36,Listen!$B$2:$E$13,2,0),0)*J78</f>
        <v>0</v>
      </c>
      <c r="K94" s="87">
        <f>IFERROR(VLOOKUP(K36,Listen!$B$2:$E$13,2,0),0)*K78</f>
        <v>0</v>
      </c>
      <c r="L94" s="87">
        <f>IFERROR(VLOOKUP(L36,Listen!$B$2:$E$13,2,0),0)*L78</f>
        <v>0</v>
      </c>
      <c r="M94" s="87">
        <f>IFERROR(VLOOKUP(M36,Listen!$B$2:$E$13,2,0),0)*M78</f>
        <v>0</v>
      </c>
      <c r="N94" s="87">
        <f>IFERROR(VLOOKUP(N36,Listen!$B$2:$E$13,2,0),0)*N78</f>
        <v>0</v>
      </c>
      <c r="O94" s="87">
        <f>IFERROR(VLOOKUP(O36,Listen!$B$2:$E$13,2,0),0)*O78</f>
        <v>0</v>
      </c>
      <c r="P94" s="87">
        <f>IFERROR(VLOOKUP(P36,Listen!$B$2:$E$13,2,0),0)*P78</f>
        <v>0</v>
      </c>
      <c r="Q94" s="87">
        <f>IFERROR(VLOOKUP(Q36,Listen!$B$2:$E$13,2,0),0)*Q78</f>
        <v>0</v>
      </c>
      <c r="R94" s="87">
        <f>IFERROR(VLOOKUP(R36,Listen!$B$2:$E$13,2,0),0)*R78</f>
        <v>0</v>
      </c>
      <c r="S94" s="87">
        <f>IFERROR(VLOOKUP(S36,Listen!$B$2:$E$13,2,0),0)*S78</f>
        <v>0</v>
      </c>
      <c r="T94" s="87">
        <f>IFERROR(VLOOKUP(T36,Listen!$B$2:$E$13,2,0),0)*T78</f>
        <v>0</v>
      </c>
      <c r="U94" s="87">
        <f>IFERROR(VLOOKUP(U36,Listen!$B$2:$E$13,2,0),0)*U78</f>
        <v>0</v>
      </c>
      <c r="V94" s="87">
        <f>IFERROR(VLOOKUP(V36,Listen!$B$2:$E$13,2,0),0)*V78</f>
        <v>0</v>
      </c>
      <c r="W94" s="87">
        <f>IFERROR(VLOOKUP(W36,Listen!$B$2:$E$13,2,0),0)*W78</f>
        <v>0</v>
      </c>
      <c r="X94" s="104">
        <f>IFERROR(VLOOKUP(X36,Listen!$B$2:$E$13,2,0),0)*X78</f>
        <v>0</v>
      </c>
      <c r="Y94" s="77"/>
      <c r="Z94" s="78"/>
      <c r="AA94" s="79"/>
    </row>
    <row r="95" spans="3:27" s="75" customFormat="1" ht="13.5" hidden="1" x14ac:dyDescent="0.25">
      <c r="C95" s="103" t="str">
        <f>$C$79</f>
        <v>Zone 6</v>
      </c>
      <c r="D95" s="86" t="s">
        <v>145</v>
      </c>
      <c r="E95" s="69">
        <f>IFERROR(VLOOKUP(E39,Listen!$B$2:$E$13,2,0),0)*E79</f>
        <v>0</v>
      </c>
      <c r="F95" s="87">
        <f>IFERROR(VLOOKUP(F39,Listen!$B$2:$E$13,2,0),0)*F79</f>
        <v>0</v>
      </c>
      <c r="G95" s="87">
        <f>IFERROR(VLOOKUP(G39,Listen!$B$2:$E$13,2,0),0)*G79</f>
        <v>0</v>
      </c>
      <c r="H95" s="87">
        <f>IFERROR(VLOOKUP(H39,Listen!$B$2:$E$13,2,0),0)*H79</f>
        <v>0</v>
      </c>
      <c r="I95" s="87">
        <f>IFERROR(VLOOKUP(I39,Listen!$B$2:$E$13,2,0),0)*I79</f>
        <v>0</v>
      </c>
      <c r="J95" s="87">
        <f>IFERROR(VLOOKUP(J39,Listen!$B$2:$E$13,2,0),0)*J79</f>
        <v>0</v>
      </c>
      <c r="K95" s="87">
        <f>IFERROR(VLOOKUP(K39,Listen!$B$2:$E$13,2,0),0)*K79</f>
        <v>0</v>
      </c>
      <c r="L95" s="87">
        <f>IFERROR(VLOOKUP(L39,Listen!$B$2:$E$13,2,0),0)*L79</f>
        <v>0</v>
      </c>
      <c r="M95" s="87">
        <f>IFERROR(VLOOKUP(M39,Listen!$B$2:$E$13,2,0),0)*M79</f>
        <v>0</v>
      </c>
      <c r="N95" s="87">
        <f>IFERROR(VLOOKUP(N39,Listen!$B$2:$E$13,2,0),0)*N79</f>
        <v>0</v>
      </c>
      <c r="O95" s="87">
        <f>IFERROR(VLOOKUP(O39,Listen!$B$2:$E$13,2,0),0)*O79</f>
        <v>0</v>
      </c>
      <c r="P95" s="87">
        <f>IFERROR(VLOOKUP(P39,Listen!$B$2:$E$13,2,0),0)*P79</f>
        <v>0</v>
      </c>
      <c r="Q95" s="87">
        <f>IFERROR(VLOOKUP(Q39,Listen!$B$2:$E$13,2,0),0)*Q79</f>
        <v>0</v>
      </c>
      <c r="R95" s="87">
        <f>IFERROR(VLOOKUP(R39,Listen!$B$2:$E$13,2,0),0)*R79</f>
        <v>0</v>
      </c>
      <c r="S95" s="87">
        <f>IFERROR(VLOOKUP(S39,Listen!$B$2:$E$13,2,0),0)*S79</f>
        <v>0</v>
      </c>
      <c r="T95" s="87">
        <f>IFERROR(VLOOKUP(T39,Listen!$B$2:$E$13,2,0),0)*T79</f>
        <v>0</v>
      </c>
      <c r="U95" s="87">
        <f>IFERROR(VLOOKUP(U39,Listen!$B$2:$E$13,2,0),0)*U79</f>
        <v>0</v>
      </c>
      <c r="V95" s="87">
        <f>IFERROR(VLOOKUP(V39,Listen!$B$2:$E$13,2,0),0)*V79</f>
        <v>0</v>
      </c>
      <c r="W95" s="87">
        <f>IFERROR(VLOOKUP(W39,Listen!$B$2:$E$13,2,0),0)*W79</f>
        <v>0</v>
      </c>
      <c r="X95" s="104">
        <f>IFERROR(VLOOKUP(X39,Listen!$B$2:$E$13,2,0),0)*X79</f>
        <v>0</v>
      </c>
      <c r="Y95" s="77"/>
      <c r="Z95" s="78"/>
      <c r="AA95" s="79"/>
    </row>
    <row r="96" spans="3:27" s="75" customFormat="1" ht="13.5" hidden="1" x14ac:dyDescent="0.25">
      <c r="C96" s="105" t="str">
        <f>Uebersetzung!$D$40&amp;" "&amp;Uebersetzung!$D$154&amp;" "</f>
        <v xml:space="preserve">Exigence chaud </v>
      </c>
      <c r="D96" s="88" t="s">
        <v>145</v>
      </c>
      <c r="E96" s="70">
        <f>SUM(E90:E95)</f>
        <v>0</v>
      </c>
      <c r="F96" s="89">
        <f t="shared" ref="F96:X96" si="18">SUM(F90:F95)</f>
        <v>0</v>
      </c>
      <c r="G96" s="89">
        <f t="shared" si="18"/>
        <v>0</v>
      </c>
      <c r="H96" s="89">
        <f t="shared" si="18"/>
        <v>0</v>
      </c>
      <c r="I96" s="89">
        <f t="shared" si="18"/>
        <v>0</v>
      </c>
      <c r="J96" s="89">
        <f t="shared" si="18"/>
        <v>0</v>
      </c>
      <c r="K96" s="89">
        <f t="shared" si="18"/>
        <v>0</v>
      </c>
      <c r="L96" s="89">
        <f t="shared" si="18"/>
        <v>0</v>
      </c>
      <c r="M96" s="89">
        <f t="shared" si="18"/>
        <v>0</v>
      </c>
      <c r="N96" s="89">
        <f t="shared" si="18"/>
        <v>0</v>
      </c>
      <c r="O96" s="89">
        <f t="shared" si="18"/>
        <v>0</v>
      </c>
      <c r="P96" s="89">
        <f t="shared" si="18"/>
        <v>0</v>
      </c>
      <c r="Q96" s="89">
        <f t="shared" si="18"/>
        <v>0</v>
      </c>
      <c r="R96" s="89">
        <f t="shared" si="18"/>
        <v>0</v>
      </c>
      <c r="S96" s="89">
        <f t="shared" si="18"/>
        <v>0</v>
      </c>
      <c r="T96" s="89">
        <f t="shared" si="18"/>
        <v>0</v>
      </c>
      <c r="U96" s="89">
        <f t="shared" si="18"/>
        <v>0</v>
      </c>
      <c r="V96" s="89">
        <f t="shared" si="18"/>
        <v>0</v>
      </c>
      <c r="W96" s="89">
        <f t="shared" si="18"/>
        <v>0</v>
      </c>
      <c r="X96" s="106">
        <f t="shared" si="18"/>
        <v>0</v>
      </c>
      <c r="Y96" s="77"/>
      <c r="Z96" s="78"/>
      <c r="AA96" s="79"/>
    </row>
    <row r="97" spans="3:27" s="75" customFormat="1" ht="19.350000000000001" hidden="1" customHeight="1" x14ac:dyDescent="0.2">
      <c r="C97" s="99" t="str">
        <f>Uebersetzung!D121&amp;" "&amp;Uebersetzung!D115&amp;" / "&amp;Uebersetzung!D116</f>
        <v>Supplément Installation PV / Capteurs solaires thermiques</v>
      </c>
      <c r="D97" s="77"/>
      <c r="E97" s="71"/>
      <c r="F97" s="71"/>
      <c r="G97" s="71"/>
      <c r="H97" s="71"/>
      <c r="I97" s="71"/>
      <c r="J97" s="71"/>
      <c r="K97" s="71"/>
      <c r="L97" s="71"/>
      <c r="M97" s="71"/>
      <c r="N97" s="71"/>
      <c r="O97" s="71"/>
      <c r="P97" s="71"/>
      <c r="Q97" s="71"/>
      <c r="R97" s="71"/>
      <c r="S97" s="71"/>
      <c r="T97" s="71"/>
      <c r="U97" s="71"/>
      <c r="V97" s="71"/>
      <c r="W97" s="71"/>
      <c r="X97" s="100"/>
      <c r="Y97" s="77"/>
      <c r="Z97" s="78"/>
      <c r="AA97" s="79"/>
    </row>
    <row r="98" spans="3:27" s="75" customFormat="1" ht="13.5" hidden="1" x14ac:dyDescent="0.25">
      <c r="C98" s="101" t="str">
        <f>$C$74</f>
        <v>Zone 1</v>
      </c>
      <c r="D98" s="84" t="s">
        <v>145</v>
      </c>
      <c r="E98" s="60">
        <f>IF(E$80=0,0,SUM(E$114:E$115)/E$80*E74)</f>
        <v>0</v>
      </c>
      <c r="F98" s="60">
        <f t="shared" ref="F98:X98" si="19">IF(F$80=0,0,SUM(F$114:F$115)/F$80*F74)</f>
        <v>0</v>
      </c>
      <c r="G98" s="60">
        <f t="shared" si="19"/>
        <v>0</v>
      </c>
      <c r="H98" s="60">
        <f t="shared" si="19"/>
        <v>0</v>
      </c>
      <c r="I98" s="60">
        <f t="shared" si="19"/>
        <v>0</v>
      </c>
      <c r="J98" s="60">
        <f t="shared" si="19"/>
        <v>0</v>
      </c>
      <c r="K98" s="60">
        <f t="shared" si="19"/>
        <v>0</v>
      </c>
      <c r="L98" s="60">
        <f t="shared" si="19"/>
        <v>0</v>
      </c>
      <c r="M98" s="60">
        <f t="shared" si="19"/>
        <v>0</v>
      </c>
      <c r="N98" s="60">
        <f t="shared" si="19"/>
        <v>0</v>
      </c>
      <c r="O98" s="60">
        <f t="shared" si="19"/>
        <v>0</v>
      </c>
      <c r="P98" s="60">
        <f t="shared" si="19"/>
        <v>0</v>
      </c>
      <c r="Q98" s="60">
        <f t="shared" si="19"/>
        <v>0</v>
      </c>
      <c r="R98" s="60">
        <f t="shared" si="19"/>
        <v>0</v>
      </c>
      <c r="S98" s="60">
        <f t="shared" si="19"/>
        <v>0</v>
      </c>
      <c r="T98" s="60">
        <f t="shared" si="19"/>
        <v>0</v>
      </c>
      <c r="U98" s="60">
        <f t="shared" si="19"/>
        <v>0</v>
      </c>
      <c r="V98" s="60">
        <f t="shared" si="19"/>
        <v>0</v>
      </c>
      <c r="W98" s="60">
        <f t="shared" si="19"/>
        <v>0</v>
      </c>
      <c r="X98" s="102">
        <f t="shared" si="19"/>
        <v>0</v>
      </c>
      <c r="Y98" s="77"/>
      <c r="Z98" s="78"/>
      <c r="AA98" s="79"/>
    </row>
    <row r="99" spans="3:27" s="75" customFormat="1" ht="13.5" hidden="1" x14ac:dyDescent="0.25">
      <c r="C99" s="103" t="str">
        <f>$C$75</f>
        <v>Zone 2</v>
      </c>
      <c r="D99" s="86" t="s">
        <v>145</v>
      </c>
      <c r="E99" s="87">
        <f t="shared" ref="E99:X99" si="20">IF(E$80=0,0,SUM(E$114:E$115)/E$80*E75)</f>
        <v>0</v>
      </c>
      <c r="F99" s="87">
        <f t="shared" si="20"/>
        <v>0</v>
      </c>
      <c r="G99" s="87">
        <f t="shared" si="20"/>
        <v>0</v>
      </c>
      <c r="H99" s="87">
        <f t="shared" si="20"/>
        <v>0</v>
      </c>
      <c r="I99" s="87">
        <f t="shared" si="20"/>
        <v>0</v>
      </c>
      <c r="J99" s="87">
        <f t="shared" si="20"/>
        <v>0</v>
      </c>
      <c r="K99" s="87">
        <f t="shared" si="20"/>
        <v>0</v>
      </c>
      <c r="L99" s="87">
        <f t="shared" si="20"/>
        <v>0</v>
      </c>
      <c r="M99" s="87">
        <f t="shared" si="20"/>
        <v>0</v>
      </c>
      <c r="N99" s="87">
        <f t="shared" si="20"/>
        <v>0</v>
      </c>
      <c r="O99" s="87">
        <f t="shared" si="20"/>
        <v>0</v>
      </c>
      <c r="P99" s="87">
        <f t="shared" si="20"/>
        <v>0</v>
      </c>
      <c r="Q99" s="87">
        <f t="shared" si="20"/>
        <v>0</v>
      </c>
      <c r="R99" s="87">
        <f t="shared" si="20"/>
        <v>0</v>
      </c>
      <c r="S99" s="87">
        <f t="shared" si="20"/>
        <v>0</v>
      </c>
      <c r="T99" s="87">
        <f t="shared" si="20"/>
        <v>0</v>
      </c>
      <c r="U99" s="87">
        <f t="shared" si="20"/>
        <v>0</v>
      </c>
      <c r="V99" s="87">
        <f t="shared" si="20"/>
        <v>0</v>
      </c>
      <c r="W99" s="87">
        <f t="shared" si="20"/>
        <v>0</v>
      </c>
      <c r="X99" s="104">
        <f t="shared" si="20"/>
        <v>0</v>
      </c>
      <c r="Y99" s="77"/>
      <c r="Z99" s="78"/>
      <c r="AA99" s="79"/>
    </row>
    <row r="100" spans="3:27" s="75" customFormat="1" ht="13.5" hidden="1" x14ac:dyDescent="0.25">
      <c r="C100" s="103" t="str">
        <f>$C$76</f>
        <v>Zone 3</v>
      </c>
      <c r="D100" s="86" t="s">
        <v>145</v>
      </c>
      <c r="E100" s="87">
        <f t="shared" ref="E100:X100" si="21">IF(E$80=0,0,SUM(E$114:E$115)/E$80*E76)</f>
        <v>0</v>
      </c>
      <c r="F100" s="87">
        <f t="shared" si="21"/>
        <v>0</v>
      </c>
      <c r="G100" s="87">
        <f t="shared" si="21"/>
        <v>0</v>
      </c>
      <c r="H100" s="87">
        <f t="shared" si="21"/>
        <v>0</v>
      </c>
      <c r="I100" s="87">
        <f t="shared" si="21"/>
        <v>0</v>
      </c>
      <c r="J100" s="87">
        <f t="shared" si="21"/>
        <v>0</v>
      </c>
      <c r="K100" s="87">
        <f t="shared" si="21"/>
        <v>0</v>
      </c>
      <c r="L100" s="87">
        <f t="shared" si="21"/>
        <v>0</v>
      </c>
      <c r="M100" s="87">
        <f t="shared" si="21"/>
        <v>0</v>
      </c>
      <c r="N100" s="87">
        <f t="shared" si="21"/>
        <v>0</v>
      </c>
      <c r="O100" s="87">
        <f t="shared" si="21"/>
        <v>0</v>
      </c>
      <c r="P100" s="87">
        <f t="shared" si="21"/>
        <v>0</v>
      </c>
      <c r="Q100" s="87">
        <f t="shared" si="21"/>
        <v>0</v>
      </c>
      <c r="R100" s="87">
        <f t="shared" si="21"/>
        <v>0</v>
      </c>
      <c r="S100" s="87">
        <f t="shared" si="21"/>
        <v>0</v>
      </c>
      <c r="T100" s="87">
        <f t="shared" si="21"/>
        <v>0</v>
      </c>
      <c r="U100" s="87">
        <f t="shared" si="21"/>
        <v>0</v>
      </c>
      <c r="V100" s="87">
        <f t="shared" si="21"/>
        <v>0</v>
      </c>
      <c r="W100" s="87">
        <f t="shared" si="21"/>
        <v>0</v>
      </c>
      <c r="X100" s="104">
        <f t="shared" si="21"/>
        <v>0</v>
      </c>
      <c r="Y100" s="77"/>
      <c r="Z100" s="78"/>
      <c r="AA100" s="79"/>
    </row>
    <row r="101" spans="3:27" s="75" customFormat="1" ht="13.5" hidden="1" x14ac:dyDescent="0.25">
      <c r="C101" s="103" t="str">
        <f>$C$77</f>
        <v>Zone 4</v>
      </c>
      <c r="D101" s="86" t="s">
        <v>145</v>
      </c>
      <c r="E101" s="87">
        <f t="shared" ref="E101:X101" si="22">IF(E$80=0,0,SUM(E$114:E$115)/E$80*E77)</f>
        <v>0</v>
      </c>
      <c r="F101" s="87">
        <f t="shared" si="22"/>
        <v>0</v>
      </c>
      <c r="G101" s="87">
        <f t="shared" si="22"/>
        <v>0</v>
      </c>
      <c r="H101" s="87">
        <f t="shared" si="22"/>
        <v>0</v>
      </c>
      <c r="I101" s="87">
        <f t="shared" si="22"/>
        <v>0</v>
      </c>
      <c r="J101" s="87">
        <f t="shared" si="22"/>
        <v>0</v>
      </c>
      <c r="K101" s="87">
        <f t="shared" si="22"/>
        <v>0</v>
      </c>
      <c r="L101" s="87">
        <f t="shared" si="22"/>
        <v>0</v>
      </c>
      <c r="M101" s="87">
        <f t="shared" si="22"/>
        <v>0</v>
      </c>
      <c r="N101" s="87">
        <f t="shared" si="22"/>
        <v>0</v>
      </c>
      <c r="O101" s="87">
        <f t="shared" si="22"/>
        <v>0</v>
      </c>
      <c r="P101" s="87">
        <f t="shared" si="22"/>
        <v>0</v>
      </c>
      <c r="Q101" s="87">
        <f t="shared" si="22"/>
        <v>0</v>
      </c>
      <c r="R101" s="87">
        <f t="shared" si="22"/>
        <v>0</v>
      </c>
      <c r="S101" s="87">
        <f t="shared" si="22"/>
        <v>0</v>
      </c>
      <c r="T101" s="87">
        <f t="shared" si="22"/>
        <v>0</v>
      </c>
      <c r="U101" s="87">
        <f t="shared" si="22"/>
        <v>0</v>
      </c>
      <c r="V101" s="87">
        <f t="shared" si="22"/>
        <v>0</v>
      </c>
      <c r="W101" s="87">
        <f t="shared" si="22"/>
        <v>0</v>
      </c>
      <c r="X101" s="104">
        <f t="shared" si="22"/>
        <v>0</v>
      </c>
      <c r="Y101" s="77"/>
      <c r="Z101" s="78"/>
      <c r="AA101" s="79"/>
    </row>
    <row r="102" spans="3:27" s="75" customFormat="1" ht="13.5" hidden="1" x14ac:dyDescent="0.25">
      <c r="C102" s="103" t="str">
        <f>$C$78</f>
        <v>Zone 5</v>
      </c>
      <c r="D102" s="86" t="s">
        <v>145</v>
      </c>
      <c r="E102" s="87">
        <f t="shared" ref="E102:X102" si="23">IF(E$80=0,0,SUM(E$114:E$115)/E$80*E78)</f>
        <v>0</v>
      </c>
      <c r="F102" s="87">
        <f t="shared" si="23"/>
        <v>0</v>
      </c>
      <c r="G102" s="87">
        <f t="shared" si="23"/>
        <v>0</v>
      </c>
      <c r="H102" s="87">
        <f t="shared" si="23"/>
        <v>0</v>
      </c>
      <c r="I102" s="87">
        <f t="shared" si="23"/>
        <v>0</v>
      </c>
      <c r="J102" s="87">
        <f t="shared" si="23"/>
        <v>0</v>
      </c>
      <c r="K102" s="87">
        <f t="shared" si="23"/>
        <v>0</v>
      </c>
      <c r="L102" s="87">
        <f t="shared" si="23"/>
        <v>0</v>
      </c>
      <c r="M102" s="87">
        <f t="shared" si="23"/>
        <v>0</v>
      </c>
      <c r="N102" s="87">
        <f t="shared" si="23"/>
        <v>0</v>
      </c>
      <c r="O102" s="87">
        <f t="shared" si="23"/>
        <v>0</v>
      </c>
      <c r="P102" s="87">
        <f t="shared" si="23"/>
        <v>0</v>
      </c>
      <c r="Q102" s="87">
        <f t="shared" si="23"/>
        <v>0</v>
      </c>
      <c r="R102" s="87">
        <f t="shared" si="23"/>
        <v>0</v>
      </c>
      <c r="S102" s="87">
        <f t="shared" si="23"/>
        <v>0</v>
      </c>
      <c r="T102" s="87">
        <f t="shared" si="23"/>
        <v>0</v>
      </c>
      <c r="U102" s="87">
        <f t="shared" si="23"/>
        <v>0</v>
      </c>
      <c r="V102" s="87">
        <f t="shared" si="23"/>
        <v>0</v>
      </c>
      <c r="W102" s="87">
        <f t="shared" si="23"/>
        <v>0</v>
      </c>
      <c r="X102" s="104">
        <f t="shared" si="23"/>
        <v>0</v>
      </c>
      <c r="Y102" s="77"/>
      <c r="Z102" s="78"/>
      <c r="AA102" s="79"/>
    </row>
    <row r="103" spans="3:27" s="75" customFormat="1" ht="13.5" hidden="1" x14ac:dyDescent="0.25">
      <c r="C103" s="103" t="str">
        <f>$C$79</f>
        <v>Zone 6</v>
      </c>
      <c r="D103" s="86" t="s">
        <v>145</v>
      </c>
      <c r="E103" s="87">
        <f t="shared" ref="E103:X103" si="24">IF(E$80=0,0,SUM(E$114:E$115)/E$80*E79)</f>
        <v>0</v>
      </c>
      <c r="F103" s="87">
        <f t="shared" si="24"/>
        <v>0</v>
      </c>
      <c r="G103" s="87">
        <f t="shared" si="24"/>
        <v>0</v>
      </c>
      <c r="H103" s="87">
        <f t="shared" si="24"/>
        <v>0</v>
      </c>
      <c r="I103" s="87">
        <f t="shared" si="24"/>
        <v>0</v>
      </c>
      <c r="J103" s="87">
        <f t="shared" si="24"/>
        <v>0</v>
      </c>
      <c r="K103" s="87">
        <f t="shared" si="24"/>
        <v>0</v>
      </c>
      <c r="L103" s="87">
        <f t="shared" si="24"/>
        <v>0</v>
      </c>
      <c r="M103" s="87">
        <f t="shared" si="24"/>
        <v>0</v>
      </c>
      <c r="N103" s="87">
        <f t="shared" si="24"/>
        <v>0</v>
      </c>
      <c r="O103" s="87">
        <f t="shared" si="24"/>
        <v>0</v>
      </c>
      <c r="P103" s="87">
        <f t="shared" si="24"/>
        <v>0</v>
      </c>
      <c r="Q103" s="87">
        <f t="shared" si="24"/>
        <v>0</v>
      </c>
      <c r="R103" s="87">
        <f t="shared" si="24"/>
        <v>0</v>
      </c>
      <c r="S103" s="87">
        <f t="shared" si="24"/>
        <v>0</v>
      </c>
      <c r="T103" s="87">
        <f t="shared" si="24"/>
        <v>0</v>
      </c>
      <c r="U103" s="87">
        <f t="shared" si="24"/>
        <v>0</v>
      </c>
      <c r="V103" s="87">
        <f t="shared" si="24"/>
        <v>0</v>
      </c>
      <c r="W103" s="87">
        <f t="shared" si="24"/>
        <v>0</v>
      </c>
      <c r="X103" s="104">
        <f t="shared" si="24"/>
        <v>0</v>
      </c>
      <c r="Y103" s="77"/>
      <c r="Z103" s="78"/>
      <c r="AA103" s="79"/>
    </row>
    <row r="104" spans="3:27" s="75" customFormat="1" ht="13.5" hidden="1" x14ac:dyDescent="0.25">
      <c r="C104" s="105" t="str">
        <f>C97</f>
        <v>Supplément Installation PV / Capteurs solaires thermiques</v>
      </c>
      <c r="D104" s="88" t="s">
        <v>145</v>
      </c>
      <c r="E104" s="89">
        <f>SUM(E98:E103)</f>
        <v>0</v>
      </c>
      <c r="F104" s="89">
        <f t="shared" ref="F104:X104" si="25">SUM(F98:F103)</f>
        <v>0</v>
      </c>
      <c r="G104" s="89">
        <f t="shared" si="25"/>
        <v>0</v>
      </c>
      <c r="H104" s="89">
        <f t="shared" si="25"/>
        <v>0</v>
      </c>
      <c r="I104" s="89">
        <f t="shared" si="25"/>
        <v>0</v>
      </c>
      <c r="J104" s="89">
        <f t="shared" si="25"/>
        <v>0</v>
      </c>
      <c r="K104" s="89">
        <f t="shared" si="25"/>
        <v>0</v>
      </c>
      <c r="L104" s="89">
        <f t="shared" si="25"/>
        <v>0</v>
      </c>
      <c r="M104" s="89">
        <f t="shared" si="25"/>
        <v>0</v>
      </c>
      <c r="N104" s="89">
        <f t="shared" si="25"/>
        <v>0</v>
      </c>
      <c r="O104" s="89">
        <f t="shared" si="25"/>
        <v>0</v>
      </c>
      <c r="P104" s="89">
        <f t="shared" si="25"/>
        <v>0</v>
      </c>
      <c r="Q104" s="89">
        <f t="shared" si="25"/>
        <v>0</v>
      </c>
      <c r="R104" s="89">
        <f t="shared" si="25"/>
        <v>0</v>
      </c>
      <c r="S104" s="89">
        <f t="shared" si="25"/>
        <v>0</v>
      </c>
      <c r="T104" s="89">
        <f t="shared" si="25"/>
        <v>0</v>
      </c>
      <c r="U104" s="89">
        <f t="shared" si="25"/>
        <v>0</v>
      </c>
      <c r="V104" s="89">
        <f t="shared" si="25"/>
        <v>0</v>
      </c>
      <c r="W104" s="89">
        <f t="shared" si="25"/>
        <v>0</v>
      </c>
      <c r="X104" s="106">
        <f t="shared" si="25"/>
        <v>0</v>
      </c>
      <c r="Y104" s="77"/>
      <c r="Z104" s="78"/>
      <c r="AA104" s="79"/>
    </row>
    <row r="105" spans="3:27" s="75" customFormat="1" ht="19.350000000000001" hidden="1" customHeight="1" x14ac:dyDescent="0.2">
      <c r="C105" s="99" t="str">
        <f>Uebersetzung!D121&amp;" "&amp;Uebersetzung!D117&amp;" / "&amp;Uebersetzung!D35</f>
        <v>Supplément Sonde géothermique / Péjoration "Démolition"</v>
      </c>
      <c r="D105" s="77"/>
      <c r="E105" s="71"/>
      <c r="F105" s="71"/>
      <c r="G105" s="71"/>
      <c r="H105" s="71"/>
      <c r="I105" s="71"/>
      <c r="J105" s="71"/>
      <c r="K105" s="71"/>
      <c r="L105" s="71"/>
      <c r="M105" s="71"/>
      <c r="N105" s="71"/>
      <c r="O105" s="71"/>
      <c r="P105" s="71"/>
      <c r="Q105" s="71"/>
      <c r="R105" s="71"/>
      <c r="S105" s="71"/>
      <c r="T105" s="71"/>
      <c r="U105" s="71"/>
      <c r="V105" s="71"/>
      <c r="W105" s="71"/>
      <c r="X105" s="100"/>
      <c r="Y105" s="77"/>
      <c r="Z105" s="78"/>
      <c r="AA105" s="79"/>
    </row>
    <row r="106" spans="3:27" s="75" customFormat="1" ht="13.5" hidden="1" x14ac:dyDescent="0.25">
      <c r="C106" s="101" t="str">
        <f>$C$74</f>
        <v>Zone 1</v>
      </c>
      <c r="D106" s="84" t="s">
        <v>145</v>
      </c>
      <c r="E106" s="60">
        <f>IF(E$80=0,0,(E$116-E$117)/E$80*E74)</f>
        <v>0</v>
      </c>
      <c r="F106" s="60">
        <f t="shared" ref="F106:X106" si="26">IF(F$80=0,0,(F$116-F$117)/F$80*F74)</f>
        <v>0</v>
      </c>
      <c r="G106" s="60">
        <f t="shared" si="26"/>
        <v>0</v>
      </c>
      <c r="H106" s="60">
        <f t="shared" si="26"/>
        <v>0</v>
      </c>
      <c r="I106" s="60">
        <f t="shared" si="26"/>
        <v>0</v>
      </c>
      <c r="J106" s="60">
        <f t="shared" si="26"/>
        <v>0</v>
      </c>
      <c r="K106" s="60">
        <f t="shared" si="26"/>
        <v>0</v>
      </c>
      <c r="L106" s="60">
        <f t="shared" si="26"/>
        <v>0</v>
      </c>
      <c r="M106" s="60">
        <f t="shared" si="26"/>
        <v>0</v>
      </c>
      <c r="N106" s="60">
        <f t="shared" si="26"/>
        <v>0</v>
      </c>
      <c r="O106" s="60">
        <f t="shared" si="26"/>
        <v>0</v>
      </c>
      <c r="P106" s="60">
        <f t="shared" si="26"/>
        <v>0</v>
      </c>
      <c r="Q106" s="60">
        <f t="shared" si="26"/>
        <v>0</v>
      </c>
      <c r="R106" s="60">
        <f t="shared" si="26"/>
        <v>0</v>
      </c>
      <c r="S106" s="60">
        <f t="shared" si="26"/>
        <v>0</v>
      </c>
      <c r="T106" s="60">
        <f t="shared" si="26"/>
        <v>0</v>
      </c>
      <c r="U106" s="60">
        <f t="shared" si="26"/>
        <v>0</v>
      </c>
      <c r="V106" s="60">
        <f t="shared" si="26"/>
        <v>0</v>
      </c>
      <c r="W106" s="60">
        <f t="shared" si="26"/>
        <v>0</v>
      </c>
      <c r="X106" s="102">
        <f t="shared" si="26"/>
        <v>0</v>
      </c>
      <c r="Y106" s="77"/>
      <c r="Z106" s="78"/>
      <c r="AA106" s="79"/>
    </row>
    <row r="107" spans="3:27" s="75" customFormat="1" ht="13.5" hidden="1" x14ac:dyDescent="0.25">
      <c r="C107" s="103" t="str">
        <f>$C$75</f>
        <v>Zone 2</v>
      </c>
      <c r="D107" s="86" t="s">
        <v>145</v>
      </c>
      <c r="E107" s="87">
        <f t="shared" ref="E107:X107" si="27">IF(E$80=0,0,(E$116-E$117)/E$80*E75)</f>
        <v>0</v>
      </c>
      <c r="F107" s="87">
        <f t="shared" si="27"/>
        <v>0</v>
      </c>
      <c r="G107" s="87">
        <f t="shared" si="27"/>
        <v>0</v>
      </c>
      <c r="H107" s="87">
        <f t="shared" si="27"/>
        <v>0</v>
      </c>
      <c r="I107" s="87">
        <f t="shared" si="27"/>
        <v>0</v>
      </c>
      <c r="J107" s="87">
        <f t="shared" si="27"/>
        <v>0</v>
      </c>
      <c r="K107" s="87">
        <f t="shared" si="27"/>
        <v>0</v>
      </c>
      <c r="L107" s="87">
        <f t="shared" si="27"/>
        <v>0</v>
      </c>
      <c r="M107" s="87">
        <f t="shared" si="27"/>
        <v>0</v>
      </c>
      <c r="N107" s="87">
        <f t="shared" si="27"/>
        <v>0</v>
      </c>
      <c r="O107" s="87">
        <f t="shared" si="27"/>
        <v>0</v>
      </c>
      <c r="P107" s="87">
        <f t="shared" si="27"/>
        <v>0</v>
      </c>
      <c r="Q107" s="87">
        <f t="shared" si="27"/>
        <v>0</v>
      </c>
      <c r="R107" s="87">
        <f t="shared" si="27"/>
        <v>0</v>
      </c>
      <c r="S107" s="87">
        <f t="shared" si="27"/>
        <v>0</v>
      </c>
      <c r="T107" s="87">
        <f t="shared" si="27"/>
        <v>0</v>
      </c>
      <c r="U107" s="87">
        <f t="shared" si="27"/>
        <v>0</v>
      </c>
      <c r="V107" s="87">
        <f t="shared" si="27"/>
        <v>0</v>
      </c>
      <c r="W107" s="87">
        <f t="shared" si="27"/>
        <v>0</v>
      </c>
      <c r="X107" s="104">
        <f t="shared" si="27"/>
        <v>0</v>
      </c>
      <c r="Y107" s="77"/>
      <c r="Z107" s="78"/>
      <c r="AA107" s="79"/>
    </row>
    <row r="108" spans="3:27" s="75" customFormat="1" ht="13.5" hidden="1" x14ac:dyDescent="0.25">
      <c r="C108" s="103" t="str">
        <f>$C$76</f>
        <v>Zone 3</v>
      </c>
      <c r="D108" s="86" t="s">
        <v>145</v>
      </c>
      <c r="E108" s="87">
        <f t="shared" ref="E108:X108" si="28">IF(E$80=0,0,(E$116-E$117)/E$80*E76)</f>
        <v>0</v>
      </c>
      <c r="F108" s="87">
        <f t="shared" si="28"/>
        <v>0</v>
      </c>
      <c r="G108" s="87">
        <f t="shared" si="28"/>
        <v>0</v>
      </c>
      <c r="H108" s="87">
        <f t="shared" si="28"/>
        <v>0</v>
      </c>
      <c r="I108" s="87">
        <f t="shared" si="28"/>
        <v>0</v>
      </c>
      <c r="J108" s="87">
        <f t="shared" si="28"/>
        <v>0</v>
      </c>
      <c r="K108" s="87">
        <f t="shared" si="28"/>
        <v>0</v>
      </c>
      <c r="L108" s="87">
        <f t="shared" si="28"/>
        <v>0</v>
      </c>
      <c r="M108" s="87">
        <f t="shared" si="28"/>
        <v>0</v>
      </c>
      <c r="N108" s="87">
        <f t="shared" si="28"/>
        <v>0</v>
      </c>
      <c r="O108" s="87">
        <f t="shared" si="28"/>
        <v>0</v>
      </c>
      <c r="P108" s="87">
        <f t="shared" si="28"/>
        <v>0</v>
      </c>
      <c r="Q108" s="87">
        <f t="shared" si="28"/>
        <v>0</v>
      </c>
      <c r="R108" s="87">
        <f t="shared" si="28"/>
        <v>0</v>
      </c>
      <c r="S108" s="87">
        <f t="shared" si="28"/>
        <v>0</v>
      </c>
      <c r="T108" s="87">
        <f t="shared" si="28"/>
        <v>0</v>
      </c>
      <c r="U108" s="87">
        <f t="shared" si="28"/>
        <v>0</v>
      </c>
      <c r="V108" s="87">
        <f t="shared" si="28"/>
        <v>0</v>
      </c>
      <c r="W108" s="87">
        <f t="shared" si="28"/>
        <v>0</v>
      </c>
      <c r="X108" s="104">
        <f t="shared" si="28"/>
        <v>0</v>
      </c>
      <c r="Y108" s="77"/>
      <c r="Z108" s="78"/>
      <c r="AA108" s="79"/>
    </row>
    <row r="109" spans="3:27" s="75" customFormat="1" ht="13.5" hidden="1" x14ac:dyDescent="0.25">
      <c r="C109" s="103" t="str">
        <f>$C$77</f>
        <v>Zone 4</v>
      </c>
      <c r="D109" s="86" t="s">
        <v>145</v>
      </c>
      <c r="E109" s="87">
        <f t="shared" ref="E109:X109" si="29">IF(E$80=0,0,(E$116-E$117)/E$80*E77)</f>
        <v>0</v>
      </c>
      <c r="F109" s="87">
        <f t="shared" si="29"/>
        <v>0</v>
      </c>
      <c r="G109" s="87">
        <f t="shared" si="29"/>
        <v>0</v>
      </c>
      <c r="H109" s="87">
        <f t="shared" si="29"/>
        <v>0</v>
      </c>
      <c r="I109" s="87">
        <f t="shared" si="29"/>
        <v>0</v>
      </c>
      <c r="J109" s="87">
        <f t="shared" si="29"/>
        <v>0</v>
      </c>
      <c r="K109" s="87">
        <f t="shared" si="29"/>
        <v>0</v>
      </c>
      <c r="L109" s="87">
        <f t="shared" si="29"/>
        <v>0</v>
      </c>
      <c r="M109" s="87">
        <f t="shared" si="29"/>
        <v>0</v>
      </c>
      <c r="N109" s="87">
        <f t="shared" si="29"/>
        <v>0</v>
      </c>
      <c r="O109" s="87">
        <f t="shared" si="29"/>
        <v>0</v>
      </c>
      <c r="P109" s="87">
        <f t="shared" si="29"/>
        <v>0</v>
      </c>
      <c r="Q109" s="87">
        <f t="shared" si="29"/>
        <v>0</v>
      </c>
      <c r="R109" s="87">
        <f t="shared" si="29"/>
        <v>0</v>
      </c>
      <c r="S109" s="87">
        <f t="shared" si="29"/>
        <v>0</v>
      </c>
      <c r="T109" s="87">
        <f t="shared" si="29"/>
        <v>0</v>
      </c>
      <c r="U109" s="87">
        <f t="shared" si="29"/>
        <v>0</v>
      </c>
      <c r="V109" s="87">
        <f t="shared" si="29"/>
        <v>0</v>
      </c>
      <c r="W109" s="87">
        <f t="shared" si="29"/>
        <v>0</v>
      </c>
      <c r="X109" s="104">
        <f t="shared" si="29"/>
        <v>0</v>
      </c>
      <c r="Y109" s="77"/>
      <c r="Z109" s="78"/>
      <c r="AA109" s="79"/>
    </row>
    <row r="110" spans="3:27" s="75" customFormat="1" ht="13.5" hidden="1" x14ac:dyDescent="0.25">
      <c r="C110" s="103" t="str">
        <f>$C$78</f>
        <v>Zone 5</v>
      </c>
      <c r="D110" s="86" t="s">
        <v>145</v>
      </c>
      <c r="E110" s="87">
        <f t="shared" ref="E110:X110" si="30">IF(E$80=0,0,(E$116-E$117)/E$80*E78)</f>
        <v>0</v>
      </c>
      <c r="F110" s="87">
        <f t="shared" si="30"/>
        <v>0</v>
      </c>
      <c r="G110" s="87">
        <f t="shared" si="30"/>
        <v>0</v>
      </c>
      <c r="H110" s="87">
        <f t="shared" si="30"/>
        <v>0</v>
      </c>
      <c r="I110" s="87">
        <f t="shared" si="30"/>
        <v>0</v>
      </c>
      <c r="J110" s="87">
        <f t="shared" si="30"/>
        <v>0</v>
      </c>
      <c r="K110" s="87">
        <f t="shared" si="30"/>
        <v>0</v>
      </c>
      <c r="L110" s="87">
        <f t="shared" si="30"/>
        <v>0</v>
      </c>
      <c r="M110" s="87">
        <f t="shared" si="30"/>
        <v>0</v>
      </c>
      <c r="N110" s="87">
        <f t="shared" si="30"/>
        <v>0</v>
      </c>
      <c r="O110" s="87">
        <f t="shared" si="30"/>
        <v>0</v>
      </c>
      <c r="P110" s="87">
        <f t="shared" si="30"/>
        <v>0</v>
      </c>
      <c r="Q110" s="87">
        <f t="shared" si="30"/>
        <v>0</v>
      </c>
      <c r="R110" s="87">
        <f t="shared" si="30"/>
        <v>0</v>
      </c>
      <c r="S110" s="87">
        <f t="shared" si="30"/>
        <v>0</v>
      </c>
      <c r="T110" s="87">
        <f t="shared" si="30"/>
        <v>0</v>
      </c>
      <c r="U110" s="87">
        <f t="shared" si="30"/>
        <v>0</v>
      </c>
      <c r="V110" s="87">
        <f t="shared" si="30"/>
        <v>0</v>
      </c>
      <c r="W110" s="87">
        <f t="shared" si="30"/>
        <v>0</v>
      </c>
      <c r="X110" s="104">
        <f t="shared" si="30"/>
        <v>0</v>
      </c>
      <c r="Y110" s="77"/>
      <c r="Z110" s="78"/>
      <c r="AA110" s="79"/>
    </row>
    <row r="111" spans="3:27" s="75" customFormat="1" ht="13.5" hidden="1" x14ac:dyDescent="0.25">
      <c r="C111" s="103" t="str">
        <f>$C$79</f>
        <v>Zone 6</v>
      </c>
      <c r="D111" s="86" t="s">
        <v>145</v>
      </c>
      <c r="E111" s="87">
        <f t="shared" ref="E111:X111" si="31">IF(E$80=0,0,(E$116-E$117)/E$80*E79)</f>
        <v>0</v>
      </c>
      <c r="F111" s="87">
        <f t="shared" si="31"/>
        <v>0</v>
      </c>
      <c r="G111" s="87">
        <f t="shared" si="31"/>
        <v>0</v>
      </c>
      <c r="H111" s="87">
        <f t="shared" si="31"/>
        <v>0</v>
      </c>
      <c r="I111" s="87">
        <f t="shared" si="31"/>
        <v>0</v>
      </c>
      <c r="J111" s="87">
        <f t="shared" si="31"/>
        <v>0</v>
      </c>
      <c r="K111" s="87">
        <f t="shared" si="31"/>
        <v>0</v>
      </c>
      <c r="L111" s="87">
        <f t="shared" si="31"/>
        <v>0</v>
      </c>
      <c r="M111" s="87">
        <f t="shared" si="31"/>
        <v>0</v>
      </c>
      <c r="N111" s="87">
        <f t="shared" si="31"/>
        <v>0</v>
      </c>
      <c r="O111" s="87">
        <f t="shared" si="31"/>
        <v>0</v>
      </c>
      <c r="P111" s="87">
        <f t="shared" si="31"/>
        <v>0</v>
      </c>
      <c r="Q111" s="87">
        <f t="shared" si="31"/>
        <v>0</v>
      </c>
      <c r="R111" s="87">
        <f t="shared" si="31"/>
        <v>0</v>
      </c>
      <c r="S111" s="87">
        <f t="shared" si="31"/>
        <v>0</v>
      </c>
      <c r="T111" s="87">
        <f t="shared" si="31"/>
        <v>0</v>
      </c>
      <c r="U111" s="87">
        <f t="shared" si="31"/>
        <v>0</v>
      </c>
      <c r="V111" s="87">
        <f t="shared" si="31"/>
        <v>0</v>
      </c>
      <c r="W111" s="87">
        <f t="shared" si="31"/>
        <v>0</v>
      </c>
      <c r="X111" s="104">
        <f t="shared" si="31"/>
        <v>0</v>
      </c>
      <c r="Y111" s="77"/>
      <c r="Z111" s="78"/>
      <c r="AA111" s="79"/>
    </row>
    <row r="112" spans="3:27" s="75" customFormat="1" ht="13.5" hidden="1" x14ac:dyDescent="0.25">
      <c r="C112" s="105" t="str">
        <f>C105</f>
        <v>Supplément Sonde géothermique / Péjoration "Démolition"</v>
      </c>
      <c r="D112" s="88" t="s">
        <v>145</v>
      </c>
      <c r="E112" s="89">
        <f>SUM(E106:E111)</f>
        <v>0</v>
      </c>
      <c r="F112" s="89">
        <f t="shared" ref="F112" si="32">SUM(F106:F111)</f>
        <v>0</v>
      </c>
      <c r="G112" s="89">
        <f t="shared" ref="G112" si="33">SUM(G106:G111)</f>
        <v>0</v>
      </c>
      <c r="H112" s="89">
        <f t="shared" ref="H112" si="34">SUM(H106:H111)</f>
        <v>0</v>
      </c>
      <c r="I112" s="89">
        <f t="shared" ref="I112" si="35">SUM(I106:I111)</f>
        <v>0</v>
      </c>
      <c r="J112" s="89">
        <f t="shared" ref="J112" si="36">SUM(J106:J111)</f>
        <v>0</v>
      </c>
      <c r="K112" s="89">
        <f t="shared" ref="K112" si="37">SUM(K106:K111)</f>
        <v>0</v>
      </c>
      <c r="L112" s="89">
        <f t="shared" ref="L112" si="38">SUM(L106:L111)</f>
        <v>0</v>
      </c>
      <c r="M112" s="89">
        <f t="shared" ref="M112" si="39">SUM(M106:M111)</f>
        <v>0</v>
      </c>
      <c r="N112" s="89">
        <f t="shared" ref="N112" si="40">SUM(N106:N111)</f>
        <v>0</v>
      </c>
      <c r="O112" s="89">
        <f t="shared" ref="O112" si="41">SUM(O106:O111)</f>
        <v>0</v>
      </c>
      <c r="P112" s="89">
        <f t="shared" ref="P112" si="42">SUM(P106:P111)</f>
        <v>0</v>
      </c>
      <c r="Q112" s="89">
        <f t="shared" ref="Q112" si="43">SUM(Q106:Q111)</f>
        <v>0</v>
      </c>
      <c r="R112" s="89">
        <f t="shared" ref="R112" si="44">SUM(R106:R111)</f>
        <v>0</v>
      </c>
      <c r="S112" s="89">
        <f t="shared" ref="S112" si="45">SUM(S106:S111)</f>
        <v>0</v>
      </c>
      <c r="T112" s="89">
        <f t="shared" ref="T112" si="46">SUM(T106:T111)</f>
        <v>0</v>
      </c>
      <c r="U112" s="89">
        <f t="shared" ref="U112" si="47">SUM(U106:U111)</f>
        <v>0</v>
      </c>
      <c r="V112" s="89">
        <f t="shared" ref="V112" si="48">SUM(V106:V111)</f>
        <v>0</v>
      </c>
      <c r="W112" s="89">
        <f t="shared" ref="W112" si="49">SUM(W106:W111)</f>
        <v>0</v>
      </c>
      <c r="X112" s="106">
        <f t="shared" ref="X112" si="50">SUM(X106:X111)</f>
        <v>0</v>
      </c>
      <c r="Y112" s="77"/>
      <c r="Z112" s="78"/>
      <c r="AA112" s="79"/>
    </row>
    <row r="113" spans="3:27" s="75" customFormat="1" ht="30" hidden="1" customHeight="1" x14ac:dyDescent="0.2">
      <c r="C113" s="99" t="str">
        <f>Uebersetzung!D114</f>
        <v>Suppléments et déductions bâtiment entier</v>
      </c>
      <c r="D113" s="77"/>
      <c r="E113" s="74"/>
      <c r="F113" s="74"/>
      <c r="G113" s="74"/>
      <c r="H113" s="74"/>
      <c r="I113" s="74"/>
      <c r="J113" s="74"/>
      <c r="K113" s="74"/>
      <c r="L113" s="74"/>
      <c r="M113" s="74"/>
      <c r="N113" s="74"/>
      <c r="O113" s="74"/>
      <c r="P113" s="74"/>
      <c r="Q113" s="74"/>
      <c r="R113" s="74"/>
      <c r="S113" s="74"/>
      <c r="T113" s="74"/>
      <c r="U113" s="74"/>
      <c r="V113" s="74"/>
      <c r="W113" s="74"/>
      <c r="X113" s="107"/>
      <c r="Y113" s="77"/>
      <c r="Z113" s="78"/>
      <c r="AA113" s="79"/>
    </row>
    <row r="114" spans="3:27" s="75" customFormat="1" ht="13.5" hidden="1" x14ac:dyDescent="0.25">
      <c r="C114" s="103" t="str">
        <f>Uebersetzung!D115</f>
        <v>Installation PV</v>
      </c>
      <c r="D114" s="86" t="s">
        <v>145</v>
      </c>
      <c r="E114" s="69">
        <f>Listen!$C$68*Listen!$E$68*E45</f>
        <v>0</v>
      </c>
      <c r="F114" s="69">
        <f>Listen!$C$68*Listen!$E$68*F45</f>
        <v>0</v>
      </c>
      <c r="G114" s="69">
        <f>Listen!$C$68*Listen!$E$68*G45</f>
        <v>0</v>
      </c>
      <c r="H114" s="69">
        <f>Listen!$C$68*Listen!$E$68*H45</f>
        <v>0</v>
      </c>
      <c r="I114" s="69">
        <f>Listen!$C$68*Listen!$E$68*I45</f>
        <v>0</v>
      </c>
      <c r="J114" s="69">
        <f>Listen!$C$68*Listen!$E$68*J45</f>
        <v>0</v>
      </c>
      <c r="K114" s="69">
        <f>Listen!$C$68*Listen!$E$68*K45</f>
        <v>0</v>
      </c>
      <c r="L114" s="69">
        <f>Listen!$C$68*Listen!$E$68*L45</f>
        <v>0</v>
      </c>
      <c r="M114" s="69">
        <f>Listen!$C$68*Listen!$E$68*M45</f>
        <v>0</v>
      </c>
      <c r="N114" s="69">
        <f>Listen!$C$68*Listen!$E$68*N45</f>
        <v>0</v>
      </c>
      <c r="O114" s="69">
        <f>Listen!$C$68*Listen!$E$68*O45</f>
        <v>0</v>
      </c>
      <c r="P114" s="69">
        <f>Listen!$C$68*Listen!$E$68*P45</f>
        <v>0</v>
      </c>
      <c r="Q114" s="69">
        <f>Listen!$C$68*Listen!$E$68*Q45</f>
        <v>0</v>
      </c>
      <c r="R114" s="69">
        <f>Listen!$C$68*Listen!$E$68*R45</f>
        <v>0</v>
      </c>
      <c r="S114" s="69">
        <f>Listen!$C$68*Listen!$E$68*S45</f>
        <v>0</v>
      </c>
      <c r="T114" s="69">
        <f>Listen!$C$68*Listen!$E$68*T45</f>
        <v>0</v>
      </c>
      <c r="U114" s="69">
        <f>Listen!$C$68*Listen!$E$68*U45</f>
        <v>0</v>
      </c>
      <c r="V114" s="69">
        <f>Listen!$C$68*Listen!$E$68*V45</f>
        <v>0</v>
      </c>
      <c r="W114" s="69">
        <f>Listen!$C$68*Listen!$E$68*W45</f>
        <v>0</v>
      </c>
      <c r="X114" s="128">
        <f>Listen!$C$68*Listen!$E$68*X45</f>
        <v>0</v>
      </c>
      <c r="Y114" s="77"/>
      <c r="Z114" s="78"/>
      <c r="AA114" s="79"/>
    </row>
    <row r="115" spans="3:27" s="75" customFormat="1" ht="13.5" hidden="1" x14ac:dyDescent="0.25">
      <c r="C115" s="103" t="str">
        <f>Uebersetzung!D116</f>
        <v>Capteurs solaires thermiques</v>
      </c>
      <c r="D115" s="86" t="s">
        <v>145</v>
      </c>
      <c r="E115" s="69">
        <f>IF(OR(E56=Listen!$B$57,E57=Listen!$B$57,E58=Listen!$B$57),E60*Listen!$C$69,0)</f>
        <v>0</v>
      </c>
      <c r="F115" s="69">
        <f>IF(OR(F56=Listen!$B$57,F57=Listen!$B$57,F58=Listen!$B$57),F60*Listen!$C$69,0)</f>
        <v>0</v>
      </c>
      <c r="G115" s="69">
        <f>IF(OR(G56=Listen!$B$57,G57=Listen!$B$57,G58=Listen!$B$57),G60*Listen!$C$69,0)</f>
        <v>0</v>
      </c>
      <c r="H115" s="69">
        <f>IF(OR(H56=Listen!$B$57,H57=Listen!$B$57,H58=Listen!$B$57),H60*Listen!$C$69,0)</f>
        <v>0</v>
      </c>
      <c r="I115" s="69">
        <f>IF(OR(I56=Listen!$B$57,I57=Listen!$B$57,I58=Listen!$B$57),I60*Listen!$C$69,0)</f>
        <v>0</v>
      </c>
      <c r="J115" s="69">
        <f>IF(OR(J56=Listen!$B$57,J57=Listen!$B$57,J58=Listen!$B$57),J60*Listen!$C$69,0)</f>
        <v>0</v>
      </c>
      <c r="K115" s="69">
        <f>IF(OR(K56=Listen!$B$57,K57=Listen!$B$57,K58=Listen!$B$57),K60*Listen!$C$69,0)</f>
        <v>0</v>
      </c>
      <c r="L115" s="69">
        <f>IF(OR(L56=Listen!$B$57,L57=Listen!$B$57,L58=Listen!$B$57),L60*Listen!$C$69,0)</f>
        <v>0</v>
      </c>
      <c r="M115" s="69">
        <f>IF(OR(M56=Listen!$B$57,M57=Listen!$B$57,M58=Listen!$B$57),M60*Listen!$C$69,0)</f>
        <v>0</v>
      </c>
      <c r="N115" s="69">
        <f>IF(OR(N56=Listen!$B$57,N57=Listen!$B$57,N58=Listen!$B$57),N60*Listen!$C$69,0)</f>
        <v>0</v>
      </c>
      <c r="O115" s="69">
        <f>IF(OR(O56=Listen!$B$57,O57=Listen!$B$57,O58=Listen!$B$57),O60*Listen!$C$69,0)</f>
        <v>0</v>
      </c>
      <c r="P115" s="69">
        <f>IF(OR(P56=Listen!$B$57,P57=Listen!$B$57,P58=Listen!$B$57),P60*Listen!$C$69,0)</f>
        <v>0</v>
      </c>
      <c r="Q115" s="69">
        <f>IF(OR(Q56=Listen!$B$57,Q57=Listen!$B$57,Q58=Listen!$B$57),Q60*Listen!$C$69,0)</f>
        <v>0</v>
      </c>
      <c r="R115" s="69">
        <f>IF(OR(R56=Listen!$B$57,R57=Listen!$B$57,R58=Listen!$B$57),R60*Listen!$C$69,0)</f>
        <v>0</v>
      </c>
      <c r="S115" s="69">
        <f>IF(OR(S56=Listen!$B$57,S57=Listen!$B$57,S58=Listen!$B$57),S60*Listen!$C$69,0)</f>
        <v>0</v>
      </c>
      <c r="T115" s="69">
        <f>IF(OR(T56=Listen!$B$57,T57=Listen!$B$57,T58=Listen!$B$57),T60*Listen!$C$69,0)</f>
        <v>0</v>
      </c>
      <c r="U115" s="69">
        <f>IF(OR(U56=Listen!$B$57,U57=Listen!$B$57,U58=Listen!$B$57),U60*Listen!$C$69,0)</f>
        <v>0</v>
      </c>
      <c r="V115" s="69">
        <f>IF(OR(V56=Listen!$B$57,V57=Listen!$B$57,V58=Listen!$B$57),V60*Listen!$C$69,0)</f>
        <v>0</v>
      </c>
      <c r="W115" s="69">
        <f>IF(OR(W56=Listen!$B$57,W57=Listen!$B$57,W58=Listen!$B$57),W60*Listen!$C$69,0)</f>
        <v>0</v>
      </c>
      <c r="X115" s="128">
        <f>IF(OR(X56=Listen!$B$57,X57=Listen!$B$57,X58=Listen!$B$57),X60*Listen!$C$69,0)</f>
        <v>0</v>
      </c>
      <c r="Y115" s="77"/>
      <c r="Z115" s="78"/>
      <c r="AA115" s="79"/>
    </row>
    <row r="116" spans="3:27" s="75" customFormat="1" ht="13.5" hidden="1" x14ac:dyDescent="0.25">
      <c r="C116" s="103" t="str">
        <f>Uebersetzung!D117</f>
        <v>Sonde géothermique</v>
      </c>
      <c r="D116" s="86" t="s">
        <v>145</v>
      </c>
      <c r="E116" s="69">
        <f>IF(OR(E56=Listen!$B$44,E57=Listen!$B$44,E58=Listen!$B$44),E80*VLOOKUP(E20,Listen!$B$71:$C$77,2,0),0)</f>
        <v>0</v>
      </c>
      <c r="F116" s="69">
        <f>IF(OR(F56=Listen!$B$44,F57=Listen!$B$44,F58=Listen!$B$44),F80*VLOOKUP(F20,Listen!$B$71:$C$77,2,0),0)</f>
        <v>0</v>
      </c>
      <c r="G116" s="69">
        <f>IF(OR(G56=Listen!$B$44,G57=Listen!$B$44,G58=Listen!$B$44),G80*VLOOKUP(G20,Listen!$B$71:$C$77,2,0),0)</f>
        <v>0</v>
      </c>
      <c r="H116" s="69">
        <f>IF(OR(H56=Listen!$B$44,H57=Listen!$B$44,H58=Listen!$B$44),H80*VLOOKUP(H20,Listen!$B$71:$C$77,2,0),0)</f>
        <v>0</v>
      </c>
      <c r="I116" s="69">
        <f>IF(OR(I56=Listen!$B$44,I57=Listen!$B$44,I58=Listen!$B$44),I80*VLOOKUP(I20,Listen!$B$71:$C$77,2,0),0)</f>
        <v>0</v>
      </c>
      <c r="J116" s="69">
        <f>IF(OR(J56=Listen!$B$44,J57=Listen!$B$44,J58=Listen!$B$44),J80*VLOOKUP(J20,Listen!$B$71:$C$77,2,0),0)</f>
        <v>0</v>
      </c>
      <c r="K116" s="69">
        <f>IF(OR(K56=Listen!$B$44,K57=Listen!$B$44,K58=Listen!$B$44),K80*VLOOKUP(K20,Listen!$B$71:$C$77,2,0),0)</f>
        <v>0</v>
      </c>
      <c r="L116" s="69">
        <f>IF(OR(L56=Listen!$B$44,L57=Listen!$B$44,L58=Listen!$B$44),L80*VLOOKUP(L20,Listen!$B$71:$C$77,2,0),0)</f>
        <v>0</v>
      </c>
      <c r="M116" s="69">
        <f>IF(OR(M56=Listen!$B$44,M57=Listen!$B$44,M58=Listen!$B$44),M80*VLOOKUP(M20,Listen!$B$71:$C$77,2,0),0)</f>
        <v>0</v>
      </c>
      <c r="N116" s="69">
        <f>IF(OR(N56=Listen!$B$44,N57=Listen!$B$44,N58=Listen!$B$44),N80*VLOOKUP(N20,Listen!$B$71:$C$77,2,0),0)</f>
        <v>0</v>
      </c>
      <c r="O116" s="69">
        <f>IF(OR(O56=Listen!$B$44,O57=Listen!$B$44,O58=Listen!$B$44),O80*VLOOKUP(O20,Listen!$B$71:$C$77,2,0),0)</f>
        <v>0</v>
      </c>
      <c r="P116" s="69">
        <f>IF(OR(P56=Listen!$B$44,P57=Listen!$B$44,P58=Listen!$B$44),P80*VLOOKUP(P20,Listen!$B$71:$C$77,2,0),0)</f>
        <v>0</v>
      </c>
      <c r="Q116" s="69">
        <f>IF(OR(Q56=Listen!$B$44,Q57=Listen!$B$44,Q58=Listen!$B$44),Q80*VLOOKUP(Q20,Listen!$B$71:$C$77,2,0),0)</f>
        <v>0</v>
      </c>
      <c r="R116" s="69">
        <f>IF(OR(R56=Listen!$B$44,R57=Listen!$B$44,R58=Listen!$B$44),R80*VLOOKUP(R20,Listen!$B$71:$C$77,2,0),0)</f>
        <v>0</v>
      </c>
      <c r="S116" s="69">
        <f>IF(OR(S56=Listen!$B$44,S57=Listen!$B$44,S58=Listen!$B$44),S80*VLOOKUP(S20,Listen!$B$71:$C$77,2,0),0)</f>
        <v>0</v>
      </c>
      <c r="T116" s="69">
        <f>IF(OR(T56=Listen!$B$44,T57=Listen!$B$44,T58=Listen!$B$44),T80*VLOOKUP(T20,Listen!$B$71:$C$77,2,0),0)</f>
        <v>0</v>
      </c>
      <c r="U116" s="69">
        <f>IF(OR(U56=Listen!$B$44,U57=Listen!$B$44,U58=Listen!$B$44),U80*VLOOKUP(U20,Listen!$B$71:$C$77,2,0),0)</f>
        <v>0</v>
      </c>
      <c r="V116" s="69">
        <f>IF(OR(V56=Listen!$B$44,V57=Listen!$B$44,V58=Listen!$B$44),V80*VLOOKUP(V20,Listen!$B$71:$C$77,2,0),0)</f>
        <v>0</v>
      </c>
      <c r="W116" s="69">
        <f>IF(OR(W56=Listen!$B$44,W57=Listen!$B$44,W58=Listen!$B$44),W80*VLOOKUP(W20,Listen!$B$71:$C$77,2,0),0)</f>
        <v>0</v>
      </c>
      <c r="X116" s="128">
        <f>IF(OR(X56=Listen!$B$44,X57=Listen!$B$44,X58=Listen!$B$44),X80*VLOOKUP(X20,Listen!$B$71:$C$77,2,0),0)</f>
        <v>0</v>
      </c>
      <c r="Y116" s="77"/>
      <c r="Z116" s="78"/>
      <c r="AA116" s="79"/>
    </row>
    <row r="117" spans="3:27" s="75" customFormat="1" ht="13.5" hidden="1" x14ac:dyDescent="0.25">
      <c r="C117" s="249" t="str">
        <f>Uebersetzung!D35</f>
        <v>Péjoration "Démolition"</v>
      </c>
      <c r="D117" s="250" t="s">
        <v>145</v>
      </c>
      <c r="E117" s="251">
        <f>IF(E48=Ja,VLOOKUP(E49,Listen!$B$2:$E$13,4,0)*MAX((60-E$51)/60,0)*E$50,0)</f>
        <v>0</v>
      </c>
      <c r="F117" s="251">
        <f>IF(F48=Ja,VLOOKUP(F49,Listen!$B$2:$E$13,4,0)*MAX((60-F$51)/60,0)*F$50,0)</f>
        <v>0</v>
      </c>
      <c r="G117" s="251">
        <f>IF(G48=Ja,VLOOKUP(G49,Listen!$B$2:$E$13,4,0)*MAX((60-G$51)/60,0)*G$50,0)</f>
        <v>0</v>
      </c>
      <c r="H117" s="251">
        <f>IF(H48=Ja,VLOOKUP(H49,Listen!$B$2:$E$13,4,0)*MAX((60-H$51)/60,0)*H$50,0)</f>
        <v>0</v>
      </c>
      <c r="I117" s="251">
        <f>IF(I48=Ja,VLOOKUP(I49,Listen!$B$2:$E$13,4,0)*MAX((60-I$51)/60,0)*I$50,0)</f>
        <v>0</v>
      </c>
      <c r="J117" s="251">
        <f>IF(J48=Ja,VLOOKUP(J49,Listen!$B$2:$E$13,4,0)*MAX((60-J$51)/60,0)*J$50,0)</f>
        <v>0</v>
      </c>
      <c r="K117" s="251">
        <f>IF(K48=Ja,VLOOKUP(K49,Listen!$B$2:$E$13,4,0)*MAX((60-K$51)/60,0)*K$50,0)</f>
        <v>0</v>
      </c>
      <c r="L117" s="251">
        <f>IF(L48=Ja,VLOOKUP(L49,Listen!$B$2:$E$13,4,0)*MAX((60-L$51)/60,0)*L$50,0)</f>
        <v>0</v>
      </c>
      <c r="M117" s="251">
        <f>IF(M48=Ja,VLOOKUP(M49,Listen!$B$2:$E$13,4,0)*MAX((60-M$51)/60,0)*M$50,0)</f>
        <v>0</v>
      </c>
      <c r="N117" s="251">
        <f>IF(N48=Ja,VLOOKUP(N49,Listen!$B$2:$E$13,4,0)*MAX((60-N$51)/60,0)*N$50,0)</f>
        <v>0</v>
      </c>
      <c r="O117" s="251">
        <f>IF(O48=Ja,VLOOKUP(O49,Listen!$B$2:$E$13,4,0)*MAX((60-O$51)/60,0)*O$50,0)</f>
        <v>0</v>
      </c>
      <c r="P117" s="251">
        <f>IF(P48=Ja,VLOOKUP(P49,Listen!$B$2:$E$13,4,0)*MAX((60-P$51)/60,0)*P$50,0)</f>
        <v>0</v>
      </c>
      <c r="Q117" s="251">
        <f>IF(Q48=Ja,VLOOKUP(Q49,Listen!$B$2:$E$13,4,0)*MAX((60-Q$51)/60,0)*Q$50,0)</f>
        <v>0</v>
      </c>
      <c r="R117" s="251">
        <f>IF(R48=Ja,VLOOKUP(R49,Listen!$B$2:$E$13,4,0)*MAX((60-R$51)/60,0)*R$50,0)</f>
        <v>0</v>
      </c>
      <c r="S117" s="251">
        <f>IF(S48=Ja,VLOOKUP(S49,Listen!$B$2:$E$13,4,0)*MAX((60-S$51)/60,0)*S$50,0)</f>
        <v>0</v>
      </c>
      <c r="T117" s="251">
        <f>IF(T48=Ja,VLOOKUP(T49,Listen!$B$2:$E$13,4,0)*MAX((60-T$51)/60,0)*T$50,0)</f>
        <v>0</v>
      </c>
      <c r="U117" s="251">
        <f>IF(U48=Ja,VLOOKUP(U49,Listen!$B$2:$E$13,4,0)*MAX((60-U$51)/60,0)*U$50,0)</f>
        <v>0</v>
      </c>
      <c r="V117" s="251">
        <f>IF(V48=Ja,VLOOKUP(V49,Listen!$B$2:$E$13,4,0)*MAX((60-V$51)/60,0)*V$50,0)</f>
        <v>0</v>
      </c>
      <c r="W117" s="251">
        <f>IF(W48=Ja,VLOOKUP(W49,Listen!$B$2:$E$13,4,0)*MAX((60-W$51)/60,0)*W$50,0)</f>
        <v>0</v>
      </c>
      <c r="X117" s="252">
        <f>IF(X48=Ja,VLOOKUP(X49,Listen!$B$2:$E$13,4,0)*MAX((60-X$51)/60,0)*X$50,0)</f>
        <v>0</v>
      </c>
      <c r="Y117" s="77"/>
      <c r="Z117" s="78"/>
      <c r="AA117" s="79"/>
    </row>
    <row r="118" spans="3:27" s="75" customFormat="1" ht="25.35" hidden="1" customHeight="1" x14ac:dyDescent="0.2">
      <c r="C118" s="253" t="str">
        <f>Uebersetzung!D26&amp;", "&amp;Uebersetzung!D40</f>
        <v>Emissions grises, Exigence</v>
      </c>
      <c r="D118" s="254"/>
      <c r="E118" s="255"/>
      <c r="F118" s="255"/>
      <c r="G118" s="255"/>
      <c r="H118" s="255"/>
      <c r="I118" s="255"/>
      <c r="J118" s="255"/>
      <c r="K118" s="255"/>
      <c r="L118" s="255"/>
      <c r="M118" s="255"/>
      <c r="N118" s="255"/>
      <c r="O118" s="255"/>
      <c r="P118" s="255"/>
      <c r="Q118" s="255"/>
      <c r="R118" s="255"/>
      <c r="S118" s="255"/>
      <c r="T118" s="255"/>
      <c r="U118" s="255"/>
      <c r="V118" s="255"/>
      <c r="W118" s="255"/>
      <c r="X118" s="256"/>
      <c r="Y118" s="77"/>
      <c r="Z118" s="78"/>
      <c r="AA118" s="79"/>
    </row>
    <row r="119" spans="3:27" s="75" customFormat="1" ht="13.5" hidden="1" x14ac:dyDescent="0.25">
      <c r="C119" s="101" t="str">
        <f>$C$74</f>
        <v>Zone 1</v>
      </c>
      <c r="D119" s="84" t="s">
        <v>159</v>
      </c>
      <c r="E119" s="244">
        <f t="shared" ref="E119:X119" si="51">IFERROR(SUM(E82,E90,E98)/E74+E106/E$80,0)</f>
        <v>0</v>
      </c>
      <c r="F119" s="244">
        <f t="shared" si="51"/>
        <v>0</v>
      </c>
      <c r="G119" s="244">
        <f t="shared" si="51"/>
        <v>0</v>
      </c>
      <c r="H119" s="244">
        <f t="shared" si="51"/>
        <v>0</v>
      </c>
      <c r="I119" s="244">
        <f t="shared" si="51"/>
        <v>0</v>
      </c>
      <c r="J119" s="244">
        <f t="shared" si="51"/>
        <v>0</v>
      </c>
      <c r="K119" s="244">
        <f t="shared" si="51"/>
        <v>0</v>
      </c>
      <c r="L119" s="244">
        <f t="shared" si="51"/>
        <v>0</v>
      </c>
      <c r="M119" s="244">
        <f t="shared" si="51"/>
        <v>0</v>
      </c>
      <c r="N119" s="244">
        <f t="shared" si="51"/>
        <v>0</v>
      </c>
      <c r="O119" s="244">
        <f t="shared" si="51"/>
        <v>0</v>
      </c>
      <c r="P119" s="244">
        <f t="shared" si="51"/>
        <v>0</v>
      </c>
      <c r="Q119" s="244">
        <f t="shared" si="51"/>
        <v>0</v>
      </c>
      <c r="R119" s="244">
        <f t="shared" si="51"/>
        <v>0</v>
      </c>
      <c r="S119" s="244">
        <f t="shared" si="51"/>
        <v>0</v>
      </c>
      <c r="T119" s="244">
        <f t="shared" si="51"/>
        <v>0</v>
      </c>
      <c r="U119" s="244">
        <f t="shared" si="51"/>
        <v>0</v>
      </c>
      <c r="V119" s="244">
        <f t="shared" si="51"/>
        <v>0</v>
      </c>
      <c r="W119" s="244">
        <f t="shared" si="51"/>
        <v>0</v>
      </c>
      <c r="X119" s="257">
        <f t="shared" si="51"/>
        <v>0</v>
      </c>
      <c r="Y119" s="77"/>
      <c r="Z119" s="78"/>
      <c r="AA119" s="79"/>
    </row>
    <row r="120" spans="3:27" s="75" customFormat="1" ht="13.5" hidden="1" x14ac:dyDescent="0.25">
      <c r="C120" s="103" t="str">
        <f>$C$75</f>
        <v>Zone 2</v>
      </c>
      <c r="D120" s="86" t="s">
        <v>159</v>
      </c>
      <c r="E120" s="245">
        <f t="shared" ref="E120:X120" si="52">IFERROR(SUM(E83,E91,E99)/E75+E107/E$80,0)</f>
        <v>0</v>
      </c>
      <c r="F120" s="245">
        <f t="shared" si="52"/>
        <v>0</v>
      </c>
      <c r="G120" s="245">
        <f t="shared" si="52"/>
        <v>0</v>
      </c>
      <c r="H120" s="245">
        <f t="shared" si="52"/>
        <v>0</v>
      </c>
      <c r="I120" s="245">
        <f t="shared" si="52"/>
        <v>0</v>
      </c>
      <c r="J120" s="245">
        <f t="shared" si="52"/>
        <v>0</v>
      </c>
      <c r="K120" s="245">
        <f t="shared" si="52"/>
        <v>0</v>
      </c>
      <c r="L120" s="245">
        <f t="shared" si="52"/>
        <v>0</v>
      </c>
      <c r="M120" s="245">
        <f t="shared" si="52"/>
        <v>0</v>
      </c>
      <c r="N120" s="245">
        <f t="shared" si="52"/>
        <v>0</v>
      </c>
      <c r="O120" s="245">
        <f t="shared" si="52"/>
        <v>0</v>
      </c>
      <c r="P120" s="245">
        <f t="shared" si="52"/>
        <v>0</v>
      </c>
      <c r="Q120" s="245">
        <f t="shared" si="52"/>
        <v>0</v>
      </c>
      <c r="R120" s="245">
        <f t="shared" si="52"/>
        <v>0</v>
      </c>
      <c r="S120" s="245">
        <f t="shared" si="52"/>
        <v>0</v>
      </c>
      <c r="T120" s="245">
        <f t="shared" si="52"/>
        <v>0</v>
      </c>
      <c r="U120" s="245">
        <f t="shared" si="52"/>
        <v>0</v>
      </c>
      <c r="V120" s="245">
        <f t="shared" si="52"/>
        <v>0</v>
      </c>
      <c r="W120" s="245">
        <f t="shared" si="52"/>
        <v>0</v>
      </c>
      <c r="X120" s="258">
        <f t="shared" si="52"/>
        <v>0</v>
      </c>
      <c r="Y120" s="77"/>
      <c r="Z120" s="78"/>
      <c r="AA120" s="79"/>
    </row>
    <row r="121" spans="3:27" s="75" customFormat="1" ht="13.5" hidden="1" x14ac:dyDescent="0.25">
      <c r="C121" s="103" t="str">
        <f>$C$76</f>
        <v>Zone 3</v>
      </c>
      <c r="D121" s="86" t="s">
        <v>159</v>
      </c>
      <c r="E121" s="245">
        <f t="shared" ref="E121:X121" si="53">IFERROR(SUM(E84,E92,E100)/E76+E108/E$80,0)</f>
        <v>0</v>
      </c>
      <c r="F121" s="245">
        <f t="shared" si="53"/>
        <v>0</v>
      </c>
      <c r="G121" s="245">
        <f t="shared" si="53"/>
        <v>0</v>
      </c>
      <c r="H121" s="245">
        <f t="shared" si="53"/>
        <v>0</v>
      </c>
      <c r="I121" s="245">
        <f t="shared" si="53"/>
        <v>0</v>
      </c>
      <c r="J121" s="245">
        <f t="shared" si="53"/>
        <v>0</v>
      </c>
      <c r="K121" s="245">
        <f t="shared" si="53"/>
        <v>0</v>
      </c>
      <c r="L121" s="245">
        <f t="shared" si="53"/>
        <v>0</v>
      </c>
      <c r="M121" s="245">
        <f t="shared" si="53"/>
        <v>0</v>
      </c>
      <c r="N121" s="245">
        <f t="shared" si="53"/>
        <v>0</v>
      </c>
      <c r="O121" s="245">
        <f t="shared" si="53"/>
        <v>0</v>
      </c>
      <c r="P121" s="245">
        <f t="shared" si="53"/>
        <v>0</v>
      </c>
      <c r="Q121" s="245">
        <f t="shared" si="53"/>
        <v>0</v>
      </c>
      <c r="R121" s="245">
        <f t="shared" si="53"/>
        <v>0</v>
      </c>
      <c r="S121" s="245">
        <f t="shared" si="53"/>
        <v>0</v>
      </c>
      <c r="T121" s="245">
        <f t="shared" si="53"/>
        <v>0</v>
      </c>
      <c r="U121" s="245">
        <f t="shared" si="53"/>
        <v>0</v>
      </c>
      <c r="V121" s="245">
        <f t="shared" si="53"/>
        <v>0</v>
      </c>
      <c r="W121" s="245">
        <f t="shared" si="53"/>
        <v>0</v>
      </c>
      <c r="X121" s="258">
        <f t="shared" si="53"/>
        <v>0</v>
      </c>
      <c r="Y121" s="77"/>
      <c r="Z121" s="78"/>
      <c r="AA121" s="79"/>
    </row>
    <row r="122" spans="3:27" s="75" customFormat="1" ht="13.5" hidden="1" x14ac:dyDescent="0.25">
      <c r="C122" s="103" t="str">
        <f>$C$77</f>
        <v>Zone 4</v>
      </c>
      <c r="D122" s="86" t="s">
        <v>159</v>
      </c>
      <c r="E122" s="245">
        <f t="shared" ref="E122:X122" si="54">IFERROR(SUM(E85,E93,E101)/E77+E109/E$80,0)</f>
        <v>0</v>
      </c>
      <c r="F122" s="245">
        <f t="shared" si="54"/>
        <v>0</v>
      </c>
      <c r="G122" s="245">
        <f t="shared" si="54"/>
        <v>0</v>
      </c>
      <c r="H122" s="245">
        <f t="shared" si="54"/>
        <v>0</v>
      </c>
      <c r="I122" s="245">
        <f t="shared" si="54"/>
        <v>0</v>
      </c>
      <c r="J122" s="245">
        <f t="shared" si="54"/>
        <v>0</v>
      </c>
      <c r="K122" s="245">
        <f t="shared" si="54"/>
        <v>0</v>
      </c>
      <c r="L122" s="245">
        <f t="shared" si="54"/>
        <v>0</v>
      </c>
      <c r="M122" s="245">
        <f t="shared" si="54"/>
        <v>0</v>
      </c>
      <c r="N122" s="245">
        <f t="shared" si="54"/>
        <v>0</v>
      </c>
      <c r="O122" s="245">
        <f t="shared" si="54"/>
        <v>0</v>
      </c>
      <c r="P122" s="245">
        <f t="shared" si="54"/>
        <v>0</v>
      </c>
      <c r="Q122" s="245">
        <f t="shared" si="54"/>
        <v>0</v>
      </c>
      <c r="R122" s="245">
        <f t="shared" si="54"/>
        <v>0</v>
      </c>
      <c r="S122" s="245">
        <f t="shared" si="54"/>
        <v>0</v>
      </c>
      <c r="T122" s="245">
        <f t="shared" si="54"/>
        <v>0</v>
      </c>
      <c r="U122" s="245">
        <f t="shared" si="54"/>
        <v>0</v>
      </c>
      <c r="V122" s="245">
        <f t="shared" si="54"/>
        <v>0</v>
      </c>
      <c r="W122" s="245">
        <f t="shared" si="54"/>
        <v>0</v>
      </c>
      <c r="X122" s="258">
        <f t="shared" si="54"/>
        <v>0</v>
      </c>
      <c r="Y122" s="77"/>
      <c r="Z122" s="78"/>
      <c r="AA122" s="79"/>
    </row>
    <row r="123" spans="3:27" s="75" customFormat="1" ht="13.5" hidden="1" x14ac:dyDescent="0.25">
      <c r="C123" s="103" t="str">
        <f>$C$78</f>
        <v>Zone 5</v>
      </c>
      <c r="D123" s="86" t="s">
        <v>159</v>
      </c>
      <c r="E123" s="245">
        <f t="shared" ref="E123:X123" si="55">IFERROR(SUM(E86,E94,E102)/E78+E110/E$80,0)</f>
        <v>0</v>
      </c>
      <c r="F123" s="245">
        <f t="shared" si="55"/>
        <v>0</v>
      </c>
      <c r="G123" s="245">
        <f t="shared" si="55"/>
        <v>0</v>
      </c>
      <c r="H123" s="245">
        <f t="shared" si="55"/>
        <v>0</v>
      </c>
      <c r="I123" s="245">
        <f t="shared" si="55"/>
        <v>0</v>
      </c>
      <c r="J123" s="245">
        <f t="shared" si="55"/>
        <v>0</v>
      </c>
      <c r="K123" s="245">
        <f t="shared" si="55"/>
        <v>0</v>
      </c>
      <c r="L123" s="245">
        <f t="shared" si="55"/>
        <v>0</v>
      </c>
      <c r="M123" s="245">
        <f t="shared" si="55"/>
        <v>0</v>
      </c>
      <c r="N123" s="245">
        <f t="shared" si="55"/>
        <v>0</v>
      </c>
      <c r="O123" s="245">
        <f t="shared" si="55"/>
        <v>0</v>
      </c>
      <c r="P123" s="245">
        <f t="shared" si="55"/>
        <v>0</v>
      </c>
      <c r="Q123" s="245">
        <f t="shared" si="55"/>
        <v>0</v>
      </c>
      <c r="R123" s="245">
        <f t="shared" si="55"/>
        <v>0</v>
      </c>
      <c r="S123" s="245">
        <f t="shared" si="55"/>
        <v>0</v>
      </c>
      <c r="T123" s="245">
        <f t="shared" si="55"/>
        <v>0</v>
      </c>
      <c r="U123" s="245">
        <f t="shared" si="55"/>
        <v>0</v>
      </c>
      <c r="V123" s="245">
        <f t="shared" si="55"/>
        <v>0</v>
      </c>
      <c r="W123" s="245">
        <f t="shared" si="55"/>
        <v>0</v>
      </c>
      <c r="X123" s="258">
        <f t="shared" si="55"/>
        <v>0</v>
      </c>
      <c r="Y123" s="77"/>
      <c r="Z123" s="78"/>
      <c r="AA123" s="79"/>
    </row>
    <row r="124" spans="3:27" s="75" customFormat="1" ht="13.5" hidden="1" x14ac:dyDescent="0.25">
      <c r="C124" s="103" t="str">
        <f>$C$79</f>
        <v>Zone 6</v>
      </c>
      <c r="D124" s="86" t="s">
        <v>159</v>
      </c>
      <c r="E124" s="245">
        <f t="shared" ref="E124:X124" si="56">IFERROR(SUM(E87,E95,E103)/E79+E111/E$80,0)</f>
        <v>0</v>
      </c>
      <c r="F124" s="245">
        <f t="shared" si="56"/>
        <v>0</v>
      </c>
      <c r="G124" s="245">
        <f t="shared" si="56"/>
        <v>0</v>
      </c>
      <c r="H124" s="245">
        <f t="shared" si="56"/>
        <v>0</v>
      </c>
      <c r="I124" s="245">
        <f t="shared" si="56"/>
        <v>0</v>
      </c>
      <c r="J124" s="245">
        <f t="shared" si="56"/>
        <v>0</v>
      </c>
      <c r="K124" s="245">
        <f t="shared" si="56"/>
        <v>0</v>
      </c>
      <c r="L124" s="245">
        <f t="shared" si="56"/>
        <v>0</v>
      </c>
      <c r="M124" s="245">
        <f t="shared" si="56"/>
        <v>0</v>
      </c>
      <c r="N124" s="245">
        <f t="shared" si="56"/>
        <v>0</v>
      </c>
      <c r="O124" s="245">
        <f t="shared" si="56"/>
        <v>0</v>
      </c>
      <c r="P124" s="245">
        <f t="shared" si="56"/>
        <v>0</v>
      </c>
      <c r="Q124" s="245">
        <f t="shared" si="56"/>
        <v>0</v>
      </c>
      <c r="R124" s="245">
        <f t="shared" si="56"/>
        <v>0</v>
      </c>
      <c r="S124" s="245">
        <f t="shared" si="56"/>
        <v>0</v>
      </c>
      <c r="T124" s="245">
        <f t="shared" si="56"/>
        <v>0</v>
      </c>
      <c r="U124" s="245">
        <f t="shared" si="56"/>
        <v>0</v>
      </c>
      <c r="V124" s="245">
        <f t="shared" si="56"/>
        <v>0</v>
      </c>
      <c r="W124" s="245">
        <f t="shared" si="56"/>
        <v>0</v>
      </c>
      <c r="X124" s="258">
        <f t="shared" si="56"/>
        <v>0</v>
      </c>
      <c r="Y124" s="77"/>
      <c r="Z124" s="78"/>
      <c r="AA124" s="79"/>
    </row>
    <row r="125" spans="3:27" s="75" customFormat="1" ht="12.75" hidden="1" thickBot="1" x14ac:dyDescent="0.3">
      <c r="C125" s="110"/>
      <c r="D125" s="246"/>
      <c r="E125" s="247"/>
      <c r="F125" s="247"/>
      <c r="G125" s="247"/>
      <c r="H125" s="247"/>
      <c r="I125" s="247"/>
      <c r="J125" s="247"/>
      <c r="K125" s="247"/>
      <c r="L125" s="247"/>
      <c r="M125" s="247"/>
      <c r="N125" s="247"/>
      <c r="O125" s="247"/>
      <c r="P125" s="247"/>
      <c r="Q125" s="247"/>
      <c r="R125" s="247"/>
      <c r="S125" s="247"/>
      <c r="T125" s="247"/>
      <c r="U125" s="247"/>
      <c r="V125" s="247"/>
      <c r="W125" s="247"/>
      <c r="X125" s="248"/>
      <c r="Y125" s="77"/>
      <c r="Z125" s="78"/>
      <c r="AA125" s="79"/>
    </row>
    <row r="126" spans="3:27" s="115" customFormat="1" ht="31.5" hidden="1" customHeight="1" thickTop="1" x14ac:dyDescent="0.2">
      <c r="C126" s="111" t="str">
        <f>Uebersetzung!D142&amp;": "&amp;Uebersetzung!D124</f>
        <v>Compensation: SRE prise en compte</v>
      </c>
      <c r="D126" s="112"/>
      <c r="E126" s="113"/>
      <c r="F126" s="113"/>
      <c r="G126" s="113"/>
      <c r="H126" s="113"/>
      <c r="I126" s="113"/>
      <c r="J126" s="113"/>
      <c r="K126" s="113"/>
      <c r="L126" s="113"/>
      <c r="M126" s="113"/>
      <c r="N126" s="113"/>
      <c r="O126" s="113"/>
      <c r="P126" s="113"/>
      <c r="Q126" s="113"/>
      <c r="R126" s="113"/>
      <c r="S126" s="113"/>
      <c r="T126" s="113"/>
      <c r="U126" s="113"/>
      <c r="V126" s="113"/>
      <c r="W126" s="113"/>
      <c r="X126" s="113"/>
      <c r="Y126" s="114"/>
      <c r="Z126" s="125"/>
      <c r="AA126" s="58"/>
    </row>
    <row r="127" spans="3:27" s="75" customFormat="1" ht="13.5" hidden="1" x14ac:dyDescent="0.25">
      <c r="C127" s="83" t="str">
        <f>Uebersetzung!D24</f>
        <v>Indice Minergie (MKZ)</v>
      </c>
      <c r="D127" s="84" t="s">
        <v>146</v>
      </c>
      <c r="E127" s="61">
        <f t="shared" ref="E127:X127" si="57">IF(OR(E18=Neubau,E18=Erneuerung),E15,0)</f>
        <v>0</v>
      </c>
      <c r="F127" s="61">
        <f t="shared" si="57"/>
        <v>0</v>
      </c>
      <c r="G127" s="61">
        <f t="shared" si="57"/>
        <v>0</v>
      </c>
      <c r="H127" s="61">
        <f t="shared" si="57"/>
        <v>0</v>
      </c>
      <c r="I127" s="61">
        <f t="shared" si="57"/>
        <v>0</v>
      </c>
      <c r="J127" s="61">
        <f t="shared" si="57"/>
        <v>0</v>
      </c>
      <c r="K127" s="61">
        <f t="shared" si="57"/>
        <v>0</v>
      </c>
      <c r="L127" s="61">
        <f t="shared" si="57"/>
        <v>0</v>
      </c>
      <c r="M127" s="61">
        <f t="shared" si="57"/>
        <v>0</v>
      </c>
      <c r="N127" s="61">
        <f t="shared" si="57"/>
        <v>0</v>
      </c>
      <c r="O127" s="61">
        <f t="shared" si="57"/>
        <v>0</v>
      </c>
      <c r="P127" s="61">
        <f t="shared" si="57"/>
        <v>0</v>
      </c>
      <c r="Q127" s="61">
        <f t="shared" si="57"/>
        <v>0</v>
      </c>
      <c r="R127" s="61">
        <f t="shared" si="57"/>
        <v>0</v>
      </c>
      <c r="S127" s="61">
        <f t="shared" si="57"/>
        <v>0</v>
      </c>
      <c r="T127" s="61">
        <f t="shared" si="57"/>
        <v>0</v>
      </c>
      <c r="U127" s="61">
        <f t="shared" si="57"/>
        <v>0</v>
      </c>
      <c r="V127" s="61">
        <f t="shared" si="57"/>
        <v>0</v>
      </c>
      <c r="W127" s="61">
        <f t="shared" si="57"/>
        <v>0</v>
      </c>
      <c r="X127" s="264">
        <f t="shared" si="57"/>
        <v>0</v>
      </c>
      <c r="Y127" s="77"/>
      <c r="Z127" s="108">
        <f>SUM(E127:X127)</f>
        <v>0</v>
      </c>
      <c r="AA127" s="109" t="str">
        <f>Uebersetzung!D$38</f>
        <v>Total</v>
      </c>
    </row>
    <row r="128" spans="3:27" s="75" customFormat="1" ht="16.350000000000001" hidden="1" customHeight="1" x14ac:dyDescent="0.25">
      <c r="C128" s="85" t="str">
        <f>Uebersetzung!D25</f>
        <v>Besoin de chaleur pour le chauffage (Qh)</v>
      </c>
      <c r="D128" s="86" t="s">
        <v>146</v>
      </c>
      <c r="E128" s="69">
        <f t="shared" ref="E128:X128" si="58">IF(E18=Neubau,E15,0)</f>
        <v>0</v>
      </c>
      <c r="F128" s="69">
        <f t="shared" si="58"/>
        <v>0</v>
      </c>
      <c r="G128" s="69">
        <f t="shared" si="58"/>
        <v>0</v>
      </c>
      <c r="H128" s="69">
        <f t="shared" si="58"/>
        <v>0</v>
      </c>
      <c r="I128" s="69">
        <f t="shared" si="58"/>
        <v>0</v>
      </c>
      <c r="J128" s="69">
        <f t="shared" si="58"/>
        <v>0</v>
      </c>
      <c r="K128" s="69">
        <f t="shared" si="58"/>
        <v>0</v>
      </c>
      <c r="L128" s="69">
        <f t="shared" si="58"/>
        <v>0</v>
      </c>
      <c r="M128" s="69">
        <f t="shared" si="58"/>
        <v>0</v>
      </c>
      <c r="N128" s="69">
        <f t="shared" si="58"/>
        <v>0</v>
      </c>
      <c r="O128" s="69">
        <f t="shared" si="58"/>
        <v>0</v>
      </c>
      <c r="P128" s="69">
        <f t="shared" si="58"/>
        <v>0</v>
      </c>
      <c r="Q128" s="69">
        <f t="shared" si="58"/>
        <v>0</v>
      </c>
      <c r="R128" s="69">
        <f t="shared" si="58"/>
        <v>0</v>
      </c>
      <c r="S128" s="69">
        <f t="shared" si="58"/>
        <v>0</v>
      </c>
      <c r="T128" s="69">
        <f t="shared" si="58"/>
        <v>0</v>
      </c>
      <c r="U128" s="69">
        <f t="shared" si="58"/>
        <v>0</v>
      </c>
      <c r="V128" s="69">
        <f t="shared" si="58"/>
        <v>0</v>
      </c>
      <c r="W128" s="69">
        <f t="shared" si="58"/>
        <v>0</v>
      </c>
      <c r="X128" s="265">
        <f t="shared" si="58"/>
        <v>0</v>
      </c>
      <c r="Y128" s="77"/>
      <c r="Z128" s="116">
        <f>SUM(E128:X128)</f>
        <v>0</v>
      </c>
      <c r="AA128" s="117" t="str">
        <f>Uebersetzung!D$38</f>
        <v>Total</v>
      </c>
    </row>
    <row r="129" spans="3:27" s="75" customFormat="1" ht="24" hidden="1" x14ac:dyDescent="0.25">
      <c r="C129" s="93" t="str">
        <f>Uebersetzung!D25&amp;" "&amp;Uebersetzung!D29</f>
        <v>Besoin de chaleur pour le chauffage (Qh) Bâtiment Minergie-P(-ECO)</v>
      </c>
      <c r="D129" s="94" t="s">
        <v>146</v>
      </c>
      <c r="E129" s="65">
        <f t="shared" ref="E129:X129" si="59">IF(E18&lt;&gt;Neubau,0,IF(OR(E$20=MinergieP,E$20=MinergiePEco),E15,0))</f>
        <v>0</v>
      </c>
      <c r="F129" s="65">
        <f t="shared" si="59"/>
        <v>0</v>
      </c>
      <c r="G129" s="65">
        <f t="shared" si="59"/>
        <v>0</v>
      </c>
      <c r="H129" s="65">
        <f t="shared" si="59"/>
        <v>0</v>
      </c>
      <c r="I129" s="65">
        <f t="shared" si="59"/>
        <v>0</v>
      </c>
      <c r="J129" s="65">
        <f t="shared" si="59"/>
        <v>0</v>
      </c>
      <c r="K129" s="65">
        <f t="shared" si="59"/>
        <v>0</v>
      </c>
      <c r="L129" s="65">
        <f t="shared" si="59"/>
        <v>0</v>
      </c>
      <c r="M129" s="65">
        <f t="shared" si="59"/>
        <v>0</v>
      </c>
      <c r="N129" s="65">
        <f t="shared" si="59"/>
        <v>0</v>
      </c>
      <c r="O129" s="65">
        <f t="shared" si="59"/>
        <v>0</v>
      </c>
      <c r="P129" s="65">
        <f t="shared" si="59"/>
        <v>0</v>
      </c>
      <c r="Q129" s="65">
        <f t="shared" si="59"/>
        <v>0</v>
      </c>
      <c r="R129" s="65">
        <f t="shared" si="59"/>
        <v>0</v>
      </c>
      <c r="S129" s="65">
        <f t="shared" si="59"/>
        <v>0</v>
      </c>
      <c r="T129" s="65">
        <f t="shared" si="59"/>
        <v>0</v>
      </c>
      <c r="U129" s="65">
        <f t="shared" si="59"/>
        <v>0</v>
      </c>
      <c r="V129" s="65">
        <f t="shared" si="59"/>
        <v>0</v>
      </c>
      <c r="W129" s="65">
        <f t="shared" si="59"/>
        <v>0</v>
      </c>
      <c r="X129" s="166">
        <f t="shared" si="59"/>
        <v>0</v>
      </c>
      <c r="Y129" s="77"/>
      <c r="Z129" s="116">
        <f t="shared" ref="Z129" si="60">SUM(E129:X129)</f>
        <v>0</v>
      </c>
      <c r="AA129" s="117" t="str">
        <f>Uebersetzung!D$38</f>
        <v>Total</v>
      </c>
    </row>
    <row r="130" spans="3:27" hidden="1" x14ac:dyDescent="0.2">
      <c r="E130" s="3"/>
      <c r="F130" s="3"/>
      <c r="G130" s="3"/>
      <c r="H130" s="3"/>
      <c r="I130" s="3"/>
      <c r="J130" s="3"/>
      <c r="K130" s="3"/>
      <c r="L130" s="3"/>
      <c r="M130" s="3"/>
      <c r="N130" s="3"/>
      <c r="O130" s="3"/>
      <c r="P130" s="3"/>
      <c r="Q130" s="3"/>
      <c r="R130" s="3"/>
      <c r="S130" s="3"/>
      <c r="T130" s="3"/>
      <c r="U130" s="3"/>
      <c r="V130" s="3"/>
      <c r="W130" s="3"/>
      <c r="X130" s="3"/>
      <c r="Z130" s="123"/>
      <c r="AA130" s="124"/>
    </row>
    <row r="131" spans="3:27" s="115" customFormat="1" hidden="1" x14ac:dyDescent="0.2">
      <c r="C131" s="111" t="str">
        <f>Uebersetzung!D76&amp;" "&amp;Uebersetzung!D97</f>
        <v>Production de chaleur renouvelable</v>
      </c>
      <c r="D131" s="112"/>
      <c r="E131" s="63"/>
      <c r="F131" s="63"/>
      <c r="G131" s="63"/>
      <c r="H131" s="63"/>
      <c r="I131" s="63"/>
      <c r="J131" s="63"/>
      <c r="K131" s="63"/>
      <c r="L131" s="63"/>
      <c r="M131" s="63"/>
      <c r="N131" s="63"/>
      <c r="O131" s="63"/>
      <c r="P131" s="63"/>
      <c r="Q131" s="63"/>
      <c r="R131" s="63"/>
      <c r="S131" s="63"/>
      <c r="T131" s="63"/>
      <c r="U131" s="63"/>
      <c r="V131" s="63"/>
      <c r="W131" s="63"/>
      <c r="X131" s="63"/>
      <c r="Y131" s="114"/>
      <c r="Z131" s="125"/>
      <c r="AA131" s="58"/>
    </row>
    <row r="132" spans="3:27" s="75" customFormat="1" hidden="1" x14ac:dyDescent="0.25">
      <c r="C132" s="83" t="str">
        <f>C56</f>
        <v>Production de chaleur 1</v>
      </c>
      <c r="D132" s="84"/>
      <c r="E132" s="66">
        <f>IF(ISBLANK(E$10),1,IFERROR(VLOOKUP(E56,Listen!$B$39:$C$58,2,0),"-"))</f>
        <v>1</v>
      </c>
      <c r="F132" s="66">
        <f>IF(ISBLANK(F$10),1,IFERROR(VLOOKUP(F56,Listen!$B$39:$C$58,2,0),"-"))</f>
        <v>1</v>
      </c>
      <c r="G132" s="66">
        <f>IF(ISBLANK(G$10),1,IFERROR(VLOOKUP(G56,Listen!$B$39:$C$58,2,0),"-"))</f>
        <v>1</v>
      </c>
      <c r="H132" s="66">
        <f>IF(ISBLANK(H$10),1,IFERROR(VLOOKUP(H56,Listen!$B$39:$C$58,2,0),"-"))</f>
        <v>1</v>
      </c>
      <c r="I132" s="66">
        <f>IF(ISBLANK(I$10),1,IFERROR(VLOOKUP(I56,Listen!$B$39:$C$58,2,0),"-"))</f>
        <v>1</v>
      </c>
      <c r="J132" s="66">
        <f>IF(ISBLANK(J$10),1,IFERROR(VLOOKUP(J56,Listen!$B$39:$C$58,2,0),"-"))</f>
        <v>1</v>
      </c>
      <c r="K132" s="66">
        <f>IF(ISBLANK(K$10),1,IFERROR(VLOOKUP(K56,Listen!$B$39:$C$58,2,0),"-"))</f>
        <v>1</v>
      </c>
      <c r="L132" s="66">
        <f>IF(ISBLANK(L$10),1,IFERROR(VLOOKUP(L56,Listen!$B$39:$C$58,2,0),"-"))</f>
        <v>1</v>
      </c>
      <c r="M132" s="66">
        <f>IF(ISBLANK(M$10),1,IFERROR(VLOOKUP(M56,Listen!$B$39:$C$58,2,0),"-"))</f>
        <v>1</v>
      </c>
      <c r="N132" s="66">
        <f>IF(ISBLANK(N$10),1,IFERROR(VLOOKUP(N56,Listen!$B$39:$C$58,2,0),"-"))</f>
        <v>1</v>
      </c>
      <c r="O132" s="66">
        <f>IF(ISBLANK(O$10),1,IFERROR(VLOOKUP(O56,Listen!$B$39:$C$58,2,0),"-"))</f>
        <v>1</v>
      </c>
      <c r="P132" s="66">
        <f>IF(ISBLANK(P$10),1,IFERROR(VLOOKUP(P56,Listen!$B$39:$C$58,2,0),"-"))</f>
        <v>1</v>
      </c>
      <c r="Q132" s="66">
        <f>IF(ISBLANK(Q$10),1,IFERROR(VLOOKUP(Q56,Listen!$B$39:$C$58,2,0),"-"))</f>
        <v>1</v>
      </c>
      <c r="R132" s="66">
        <f>IF(ISBLANK(R$10),1,IFERROR(VLOOKUP(R56,Listen!$B$39:$C$58,2,0),"-"))</f>
        <v>1</v>
      </c>
      <c r="S132" s="66">
        <f>IF(ISBLANK(S$10),1,IFERROR(VLOOKUP(S56,Listen!$B$39:$C$58,2,0),"-"))</f>
        <v>1</v>
      </c>
      <c r="T132" s="66">
        <f>IF(ISBLANK(T$10),1,IFERROR(VLOOKUP(T56,Listen!$B$39:$C$58,2,0),"-"))</f>
        <v>1</v>
      </c>
      <c r="U132" s="66">
        <f>IF(ISBLANK(U$10),1,IFERROR(VLOOKUP(U56,Listen!$B$39:$C$58,2,0),"-"))</f>
        <v>1</v>
      </c>
      <c r="V132" s="66">
        <f>IF(ISBLANK(V$10),1,IFERROR(VLOOKUP(V56,Listen!$B$39:$C$58,2,0),"-"))</f>
        <v>1</v>
      </c>
      <c r="W132" s="66">
        <f>IF(ISBLANK(W$10),1,IFERROR(VLOOKUP(W56,Listen!$B$39:$C$58,2,0),"-"))</f>
        <v>1</v>
      </c>
      <c r="X132" s="167">
        <f>IF(ISBLANK(X$10),1,IFERROR(VLOOKUP(X56,Listen!$B$39:$C$58,2,0),"-"))</f>
        <v>1</v>
      </c>
      <c r="Y132" s="77"/>
      <c r="Z132" s="108">
        <f>COUNTIF(E132:X132,0)</f>
        <v>0</v>
      </c>
      <c r="AA132" s="109"/>
    </row>
    <row r="133" spans="3:27" s="75" customFormat="1" hidden="1" x14ac:dyDescent="0.25">
      <c r="C133" s="85" t="str">
        <f>C57</f>
        <v>Production de chaleur 2</v>
      </c>
      <c r="D133" s="86"/>
      <c r="E133" s="67">
        <f>IF(ISBLANK(E$10),1,IFERROR(VLOOKUP(E57,Listen!$B$39:$C$58,2,0),"-"))</f>
        <v>1</v>
      </c>
      <c r="F133" s="67">
        <f>IF(ISBLANK(F$10),1,IFERROR(VLOOKUP(F57,Listen!$B$39:$C$58,2,0),"-"))</f>
        <v>1</v>
      </c>
      <c r="G133" s="67">
        <f>IF(ISBLANK(G$10),1,IFERROR(VLOOKUP(G57,Listen!$B$39:$C$58,2,0),"-"))</f>
        <v>1</v>
      </c>
      <c r="H133" s="67">
        <f>IF(ISBLANK(H$10),1,IFERROR(VLOOKUP(H57,Listen!$B$39:$C$58,2,0),"-"))</f>
        <v>1</v>
      </c>
      <c r="I133" s="67">
        <f>IF(ISBLANK(I$10),1,IFERROR(VLOOKUP(I57,Listen!$B$39:$C$58,2,0),"-"))</f>
        <v>1</v>
      </c>
      <c r="J133" s="67">
        <f>IF(ISBLANK(J$10),1,IFERROR(VLOOKUP(J57,Listen!$B$39:$C$58,2,0),"-"))</f>
        <v>1</v>
      </c>
      <c r="K133" s="67">
        <f>IF(ISBLANK(K$10),1,IFERROR(VLOOKUP(K57,Listen!$B$39:$C$58,2,0),"-"))</f>
        <v>1</v>
      </c>
      <c r="L133" s="67">
        <f>IF(ISBLANK(L$10),1,IFERROR(VLOOKUP(L57,Listen!$B$39:$C$58,2,0),"-"))</f>
        <v>1</v>
      </c>
      <c r="M133" s="67">
        <f>IF(ISBLANK(M$10),1,IFERROR(VLOOKUP(M57,Listen!$B$39:$C$58,2,0),"-"))</f>
        <v>1</v>
      </c>
      <c r="N133" s="67">
        <f>IF(ISBLANK(N$10),1,IFERROR(VLOOKUP(N57,Listen!$B$39:$C$58,2,0),"-"))</f>
        <v>1</v>
      </c>
      <c r="O133" s="67">
        <f>IF(ISBLANK(O$10),1,IFERROR(VLOOKUP(O57,Listen!$B$39:$C$58,2,0),"-"))</f>
        <v>1</v>
      </c>
      <c r="P133" s="67">
        <f>IF(ISBLANK(P$10),1,IFERROR(VLOOKUP(P57,Listen!$B$39:$C$58,2,0),"-"))</f>
        <v>1</v>
      </c>
      <c r="Q133" s="67">
        <f>IF(ISBLANK(Q$10),1,IFERROR(VLOOKUP(Q57,Listen!$B$39:$C$58,2,0),"-"))</f>
        <v>1</v>
      </c>
      <c r="R133" s="67">
        <f>IF(ISBLANK(R$10),1,IFERROR(VLOOKUP(R57,Listen!$B$39:$C$58,2,0),"-"))</f>
        <v>1</v>
      </c>
      <c r="S133" s="67">
        <f>IF(ISBLANK(S$10),1,IFERROR(VLOOKUP(S57,Listen!$B$39:$C$58,2,0),"-"))</f>
        <v>1</v>
      </c>
      <c r="T133" s="67">
        <f>IF(ISBLANK(T$10),1,IFERROR(VLOOKUP(T57,Listen!$B$39:$C$58,2,0),"-"))</f>
        <v>1</v>
      </c>
      <c r="U133" s="67">
        <f>IF(ISBLANK(U$10),1,IFERROR(VLOOKUP(U57,Listen!$B$39:$C$58,2,0),"-"))</f>
        <v>1</v>
      </c>
      <c r="V133" s="67">
        <f>IF(ISBLANK(V$10),1,IFERROR(VLOOKUP(V57,Listen!$B$39:$C$58,2,0),"-"))</f>
        <v>1</v>
      </c>
      <c r="W133" s="67">
        <f>IF(ISBLANK(W$10),1,IFERROR(VLOOKUP(W57,Listen!$B$39:$C$58,2,0),"-"))</f>
        <v>1</v>
      </c>
      <c r="X133" s="168">
        <f>IF(ISBLANK(X$10),1,IFERROR(VLOOKUP(X57,Listen!$B$39:$C$58,2,0),"-"))</f>
        <v>1</v>
      </c>
      <c r="Y133" s="77"/>
      <c r="Z133" s="116">
        <f>COUNTIF(E133:X133,0)</f>
        <v>0</v>
      </c>
      <c r="AA133" s="117"/>
    </row>
    <row r="134" spans="3:27" s="75" customFormat="1" hidden="1" x14ac:dyDescent="0.25">
      <c r="C134" s="85" t="str">
        <f>C58</f>
        <v>Production de chaleur 3</v>
      </c>
      <c r="D134" s="86"/>
      <c r="E134" s="67">
        <f>IF(ISBLANK(E$10),1,IFERROR(VLOOKUP(E58,Listen!$B$39:$C$58,2,0),"-"))</f>
        <v>1</v>
      </c>
      <c r="F134" s="67">
        <f>IF(ISBLANK(F$10),1,IFERROR(VLOOKUP(F58,Listen!$B$39:$C$58,2,0),"-"))</f>
        <v>1</v>
      </c>
      <c r="G134" s="67">
        <f>IF(ISBLANK(G$10),1,IFERROR(VLOOKUP(G58,Listen!$B$39:$C$58,2,0),"-"))</f>
        <v>1</v>
      </c>
      <c r="H134" s="67">
        <f>IF(ISBLANK(H$10),1,IFERROR(VLOOKUP(H58,Listen!$B$39:$C$58,2,0),"-"))</f>
        <v>1</v>
      </c>
      <c r="I134" s="67">
        <f>IF(ISBLANK(I$10),1,IFERROR(VLOOKUP(I58,Listen!$B$39:$C$58,2,0),"-"))</f>
        <v>1</v>
      </c>
      <c r="J134" s="67">
        <f>IF(ISBLANK(J$10),1,IFERROR(VLOOKUP(J58,Listen!$B$39:$C$58,2,0),"-"))</f>
        <v>1</v>
      </c>
      <c r="K134" s="67">
        <f>IF(ISBLANK(K$10),1,IFERROR(VLOOKUP(K58,Listen!$B$39:$C$58,2,0),"-"))</f>
        <v>1</v>
      </c>
      <c r="L134" s="67">
        <f>IF(ISBLANK(L$10),1,IFERROR(VLOOKUP(L58,Listen!$B$39:$C$58,2,0),"-"))</f>
        <v>1</v>
      </c>
      <c r="M134" s="67">
        <f>IF(ISBLANK(M$10),1,IFERROR(VLOOKUP(M58,Listen!$B$39:$C$58,2,0),"-"))</f>
        <v>1</v>
      </c>
      <c r="N134" s="67">
        <f>IF(ISBLANK(N$10),1,IFERROR(VLOOKUP(N58,Listen!$B$39:$C$58,2,0),"-"))</f>
        <v>1</v>
      </c>
      <c r="O134" s="67">
        <f>IF(ISBLANK(O$10),1,IFERROR(VLOOKUP(O58,Listen!$B$39:$C$58,2,0),"-"))</f>
        <v>1</v>
      </c>
      <c r="P134" s="67">
        <f>IF(ISBLANK(P$10),1,IFERROR(VLOOKUP(P58,Listen!$B$39:$C$58,2,0),"-"))</f>
        <v>1</v>
      </c>
      <c r="Q134" s="67">
        <f>IF(ISBLANK(Q$10),1,IFERROR(VLOOKUP(Q58,Listen!$B$39:$C$58,2,0),"-"))</f>
        <v>1</v>
      </c>
      <c r="R134" s="67">
        <f>IF(ISBLANK(R$10),1,IFERROR(VLOOKUP(R58,Listen!$B$39:$C$58,2,0),"-"))</f>
        <v>1</v>
      </c>
      <c r="S134" s="67">
        <f>IF(ISBLANK(S$10),1,IFERROR(VLOOKUP(S58,Listen!$B$39:$C$58,2,0),"-"))</f>
        <v>1</v>
      </c>
      <c r="T134" s="67">
        <f>IF(ISBLANK(T$10),1,IFERROR(VLOOKUP(T58,Listen!$B$39:$C$58,2,0),"-"))</f>
        <v>1</v>
      </c>
      <c r="U134" s="67">
        <f>IF(ISBLANK(U$10),1,IFERROR(VLOOKUP(U58,Listen!$B$39:$C$58,2,0),"-"))</f>
        <v>1</v>
      </c>
      <c r="V134" s="67">
        <f>IF(ISBLANK(V$10),1,IFERROR(VLOOKUP(V58,Listen!$B$39:$C$58,2,0),"-"))</f>
        <v>1</v>
      </c>
      <c r="W134" s="67">
        <f>IF(ISBLANK(W$10),1,IFERROR(VLOOKUP(W58,Listen!$B$39:$C$58,2,0),"-"))</f>
        <v>1</v>
      </c>
      <c r="X134" s="168">
        <f>IF(ISBLANK(X$10),1,IFERROR(VLOOKUP(X58,Listen!$B$39:$C$58,2,0),"-"))</f>
        <v>1</v>
      </c>
      <c r="Y134" s="77"/>
      <c r="Z134" s="301">
        <f>COUNTIF(E134:X134,0)</f>
        <v>0</v>
      </c>
      <c r="AA134" s="302"/>
    </row>
    <row r="135" spans="3:27" s="75" customFormat="1" hidden="1" x14ac:dyDescent="0.25">
      <c r="C135" s="85"/>
      <c r="D135" s="86"/>
      <c r="E135" s="67"/>
      <c r="F135" s="67"/>
      <c r="G135" s="67"/>
      <c r="H135" s="67"/>
      <c r="I135" s="67"/>
      <c r="J135" s="67"/>
      <c r="K135" s="67"/>
      <c r="L135" s="67"/>
      <c r="M135" s="67"/>
      <c r="N135" s="67"/>
      <c r="O135" s="67"/>
      <c r="P135" s="67"/>
      <c r="Q135" s="67"/>
      <c r="R135" s="67"/>
      <c r="S135" s="67"/>
      <c r="T135" s="67"/>
      <c r="U135" s="67"/>
      <c r="V135" s="67"/>
      <c r="W135" s="67"/>
      <c r="X135" s="168"/>
      <c r="Y135" s="77"/>
      <c r="Z135" s="304">
        <f>SUM(Z132:Z134)</f>
        <v>0</v>
      </c>
      <c r="AA135" s="91" t="str">
        <f>Uebersetzung!D$38</f>
        <v>Total</v>
      </c>
    </row>
    <row r="136" spans="3:27" s="75" customFormat="1" hidden="1" x14ac:dyDescent="0.25">
      <c r="C136" s="93" t="str">
        <f>Uebersetzung!$D$139</f>
        <v>Entrée manquante</v>
      </c>
      <c r="D136" s="94"/>
      <c r="E136" s="68">
        <f>IF(COUNTIF(E132:E134,"-")=3,1,0)</f>
        <v>0</v>
      </c>
      <c r="F136" s="68">
        <f t="shared" ref="F136:I136" si="61">IF(COUNTIF(F132:F134,"-")=3,1,0)</f>
        <v>0</v>
      </c>
      <c r="G136" s="68">
        <f t="shared" si="61"/>
        <v>0</v>
      </c>
      <c r="H136" s="68">
        <f t="shared" si="61"/>
        <v>0</v>
      </c>
      <c r="I136" s="68">
        <f t="shared" si="61"/>
        <v>0</v>
      </c>
      <c r="J136" s="68">
        <f t="shared" ref="J136" si="62">IF(COUNTIF(J132:J134,"-")=3,1,0)</f>
        <v>0</v>
      </c>
      <c r="K136" s="68">
        <f t="shared" ref="K136" si="63">IF(COUNTIF(K132:K134,"-")=3,1,0)</f>
        <v>0</v>
      </c>
      <c r="L136" s="68">
        <f t="shared" ref="L136" si="64">IF(COUNTIF(L132:L134,"-")=3,1,0)</f>
        <v>0</v>
      </c>
      <c r="M136" s="68">
        <f>IF(COUNTIF(M132:M134,"-")=3,1,0)</f>
        <v>0</v>
      </c>
      <c r="N136" s="68">
        <f t="shared" ref="N136" si="65">IF(COUNTIF(N132:N134,"-")=3,1,0)</f>
        <v>0</v>
      </c>
      <c r="O136" s="68">
        <f t="shared" ref="O136" si="66">IF(COUNTIF(O132:O134,"-")=3,1,0)</f>
        <v>0</v>
      </c>
      <c r="P136" s="68">
        <f t="shared" ref="P136:Q136" si="67">IF(COUNTIF(P132:P134,"-")=3,1,0)</f>
        <v>0</v>
      </c>
      <c r="Q136" s="68">
        <f t="shared" si="67"/>
        <v>0</v>
      </c>
      <c r="R136" s="68">
        <f t="shared" ref="R136" si="68">IF(COUNTIF(R132:R134,"-")=3,1,0)</f>
        <v>0</v>
      </c>
      <c r="S136" s="68">
        <f t="shared" ref="S136" si="69">IF(COUNTIF(S132:S134,"-")=3,1,0)</f>
        <v>0</v>
      </c>
      <c r="T136" s="68">
        <f t="shared" ref="T136:U136" si="70">IF(COUNTIF(T132:T134,"-")=3,1,0)</f>
        <v>0</v>
      </c>
      <c r="U136" s="68">
        <f t="shared" si="70"/>
        <v>0</v>
      </c>
      <c r="V136" s="68">
        <f t="shared" ref="V136" si="71">IF(COUNTIF(V132:V134,"-")=3,1,0)</f>
        <v>0</v>
      </c>
      <c r="W136" s="68">
        <f t="shared" ref="W136" si="72">IF(COUNTIF(W132:W134,"-")=3,1,0)</f>
        <v>0</v>
      </c>
      <c r="X136" s="169">
        <f t="shared" ref="X136" si="73">IF(COUNTIF(X132:X134,"-")=3,1,0)</f>
        <v>0</v>
      </c>
      <c r="Y136" s="77"/>
      <c r="Z136" s="118">
        <f>SUM(E136:X136)</f>
        <v>0</v>
      </c>
      <c r="AA136" s="119" t="str">
        <f>Uebersetzung!$D$139</f>
        <v>Entrée manquante</v>
      </c>
    </row>
    <row r="137" spans="3:27" hidden="1" x14ac:dyDescent="0.2">
      <c r="Z137" s="303"/>
      <c r="AA137" s="124"/>
    </row>
    <row r="138" spans="3:27" ht="13.5" hidden="1" x14ac:dyDescent="0.2">
      <c r="C138" s="365" t="str">
        <f>Uebersetzung!D159&amp;" "&amp;Uebersetzung!D200</f>
        <v>SRE Bâtiment existant</v>
      </c>
      <c r="D138" s="366" t="s">
        <v>146</v>
      </c>
      <c r="E138" s="359">
        <f t="shared" ref="E138:X138" si="74">IF(E16=Bestandesbau,E15,0)</f>
        <v>0</v>
      </c>
      <c r="F138" s="359">
        <f t="shared" si="74"/>
        <v>0</v>
      </c>
      <c r="G138" s="359">
        <f t="shared" si="74"/>
        <v>0</v>
      </c>
      <c r="H138" s="359">
        <f t="shared" si="74"/>
        <v>0</v>
      </c>
      <c r="I138" s="359">
        <f t="shared" si="74"/>
        <v>0</v>
      </c>
      <c r="J138" s="359">
        <f t="shared" si="74"/>
        <v>0</v>
      </c>
      <c r="K138" s="359">
        <f t="shared" si="74"/>
        <v>0</v>
      </c>
      <c r="L138" s="359">
        <f t="shared" si="74"/>
        <v>0</v>
      </c>
      <c r="M138" s="359">
        <f t="shared" si="74"/>
        <v>0</v>
      </c>
      <c r="N138" s="359">
        <f t="shared" si="74"/>
        <v>0</v>
      </c>
      <c r="O138" s="359">
        <f t="shared" si="74"/>
        <v>0</v>
      </c>
      <c r="P138" s="359">
        <f t="shared" si="74"/>
        <v>0</v>
      </c>
      <c r="Q138" s="359">
        <f t="shared" si="74"/>
        <v>0</v>
      </c>
      <c r="R138" s="359">
        <f t="shared" si="74"/>
        <v>0</v>
      </c>
      <c r="S138" s="359">
        <f t="shared" si="74"/>
        <v>0</v>
      </c>
      <c r="T138" s="359">
        <f t="shared" si="74"/>
        <v>0</v>
      </c>
      <c r="U138" s="359">
        <f t="shared" si="74"/>
        <v>0</v>
      </c>
      <c r="V138" s="359">
        <f t="shared" si="74"/>
        <v>0</v>
      </c>
      <c r="W138" s="359">
        <f t="shared" si="74"/>
        <v>0</v>
      </c>
      <c r="X138" s="360">
        <f t="shared" si="74"/>
        <v>0</v>
      </c>
    </row>
    <row r="139" spans="3:27" hidden="1" x14ac:dyDescent="0.2">
      <c r="C139" s="364"/>
      <c r="D139" s="77"/>
    </row>
    <row r="140" spans="3:27" s="361" customFormat="1" hidden="1" x14ac:dyDescent="0.2">
      <c r="C140" s="362" t="str">
        <f>Uebersetzung!D175</f>
        <v>Surfaces de référence énergétique SRE par catégorie de bâtiment</v>
      </c>
      <c r="E140" s="363"/>
      <c r="F140" s="363"/>
      <c r="G140" s="363"/>
      <c r="H140" s="363"/>
      <c r="I140" s="363"/>
      <c r="J140" s="363"/>
      <c r="K140" s="363"/>
      <c r="L140" s="363"/>
      <c r="M140" s="363"/>
      <c r="N140" s="363"/>
      <c r="O140" s="363"/>
      <c r="P140" s="363"/>
      <c r="Q140" s="363"/>
      <c r="R140" s="363"/>
      <c r="S140" s="363"/>
      <c r="T140" s="363"/>
      <c r="U140" s="363"/>
      <c r="V140" s="363"/>
      <c r="W140" s="363"/>
      <c r="X140" s="363"/>
      <c r="Y140" s="363"/>
      <c r="Z140" s="369"/>
      <c r="AA140" s="370"/>
    </row>
    <row r="141" spans="3:27" s="18" customFormat="1" hidden="1" x14ac:dyDescent="0.2">
      <c r="C141" s="358" t="str">
        <f>Uebersetzung!D159&amp;" "&amp;Uebersetzung!D109</f>
        <v>SRE Nouvelle construction</v>
      </c>
      <c r="D141" s="343"/>
      <c r="E141" s="278" t="str">
        <f>C74</f>
        <v>Zone 1</v>
      </c>
      <c r="F141" s="278" t="str">
        <f>C75</f>
        <v>Zone 2</v>
      </c>
      <c r="G141" s="278" t="str">
        <f>C76</f>
        <v>Zone 3</v>
      </c>
      <c r="H141" s="278" t="str">
        <f>C77</f>
        <v>Zone 4</v>
      </c>
      <c r="I141" s="278" t="str">
        <f>C78</f>
        <v>Zone 5</v>
      </c>
      <c r="J141" s="279" t="str">
        <f>C79</f>
        <v>Zone 6</v>
      </c>
      <c r="K141" s="344" t="str">
        <f>C80</f>
        <v>SRE Nouvelle construction total</v>
      </c>
      <c r="L141" s="344" t="str">
        <f>C138</f>
        <v>SRE Bâtiment existant</v>
      </c>
      <c r="M141" s="367" t="str">
        <f>Uebersetzung!D159&amp;" "&amp;Uebersetzung!D118</f>
        <v>SRE total</v>
      </c>
      <c r="O141" s="345"/>
      <c r="P141" s="345"/>
      <c r="Q141" s="345"/>
      <c r="R141" s="345"/>
      <c r="S141" s="345"/>
      <c r="T141" s="345"/>
      <c r="U141" s="345"/>
      <c r="V141" s="345"/>
      <c r="W141" s="345"/>
      <c r="X141" s="345"/>
      <c r="Y141" s="345"/>
      <c r="Z141" s="371"/>
      <c r="AA141" s="76"/>
    </row>
    <row r="142" spans="3:27" s="75" customFormat="1" ht="13.5" hidden="1" x14ac:dyDescent="0.25">
      <c r="C142" s="85" t="str">
        <f>Listen!B2</f>
        <v>Habitat collectif</v>
      </c>
      <c r="D142" s="86" t="s">
        <v>146</v>
      </c>
      <c r="E142" s="69">
        <f>SUMIF($E$24:$X$24,$C142,$E$26:$X$26)</f>
        <v>0</v>
      </c>
      <c r="F142" s="69">
        <f>SUMIF($E$27:$X$27,$C142,$E$29:$X$29)</f>
        <v>0</v>
      </c>
      <c r="G142" s="69">
        <f>SUMIF($E$30:$X$30,$C142,$E$32:$X$32)</f>
        <v>0</v>
      </c>
      <c r="H142" s="69">
        <f>SUMIF($E$33:$X$33,$C142,$E$35:$X$35)</f>
        <v>0</v>
      </c>
      <c r="I142" s="69">
        <f>SUMIF($E$36:$X$36,$C142,$E$38:$X$38)</f>
        <v>0</v>
      </c>
      <c r="J142" s="272">
        <f>SUMIF($E$39:$X$39,$C142,$E$41:$X$41)</f>
        <v>0</v>
      </c>
      <c r="K142" s="273">
        <f>SUM(E142:J142)</f>
        <v>0</v>
      </c>
      <c r="L142" s="69">
        <f>SUMIF($E$22:$X$22,C142,$E$138:$X$138)</f>
        <v>0</v>
      </c>
      <c r="M142" s="265">
        <f>SUM(K142:L142)</f>
        <v>0</v>
      </c>
      <c r="O142" s="74"/>
      <c r="P142" s="74"/>
      <c r="Q142" s="74"/>
      <c r="R142" s="74"/>
      <c r="S142" s="74"/>
      <c r="T142" s="74"/>
      <c r="U142" s="74"/>
      <c r="V142" s="74"/>
      <c r="W142" s="74"/>
      <c r="X142" s="74"/>
      <c r="Y142" s="77"/>
      <c r="Z142" s="78"/>
      <c r="AA142" s="79"/>
    </row>
    <row r="143" spans="3:27" s="75" customFormat="1" ht="13.5" hidden="1" x14ac:dyDescent="0.25">
      <c r="C143" s="85" t="str">
        <f>Listen!B3</f>
        <v>Habitat individuel</v>
      </c>
      <c r="D143" s="86" t="s">
        <v>146</v>
      </c>
      <c r="E143" s="69">
        <f>SUMIF($E$24:$X$24,$C143,$E$26:$X$26)</f>
        <v>0</v>
      </c>
      <c r="F143" s="69">
        <f>SUMIF($E$27:$X$27,$C143,$E$29:$X$29)</f>
        <v>0</v>
      </c>
      <c r="G143" s="69">
        <f>SUMIF($E$30:$X$30,$C143,$E$32:$X$32)</f>
        <v>0</v>
      </c>
      <c r="H143" s="69">
        <f>SUMIF($E$33:$X$33,$C143,$E$35:$X$35)</f>
        <v>0</v>
      </c>
      <c r="I143" s="69">
        <f>SUMIF($E$36:$X$36,$C143,$E$38:$X$38)</f>
        <v>0</v>
      </c>
      <c r="J143" s="272">
        <f>SUMIF($E$39:$X$39,$C143,$E$41:$X$41)</f>
        <v>0</v>
      </c>
      <c r="K143" s="273">
        <f>SUM(E143:J143)</f>
        <v>0</v>
      </c>
      <c r="L143" s="69">
        <f>SUMIF($E$22:$X$22,C143,$E$138:$X$138)</f>
        <v>0</v>
      </c>
      <c r="M143" s="265">
        <f t="shared" ref="M143:M153" si="75">SUM(K143:L143)</f>
        <v>0</v>
      </c>
      <c r="O143" s="74"/>
      <c r="P143" s="74"/>
      <c r="Q143" s="74"/>
      <c r="R143" s="74"/>
      <c r="S143" s="74"/>
      <c r="T143" s="74"/>
      <c r="U143" s="74"/>
      <c r="V143" s="74"/>
      <c r="W143" s="74"/>
      <c r="X143" s="74"/>
      <c r="Y143" s="77"/>
      <c r="Z143" s="78"/>
      <c r="AA143" s="79"/>
    </row>
    <row r="144" spans="3:27" s="75" customFormat="1" ht="13.5" hidden="1" x14ac:dyDescent="0.25">
      <c r="C144" s="85" t="str">
        <f>Listen!B4</f>
        <v>Administration</v>
      </c>
      <c r="D144" s="86" t="s">
        <v>146</v>
      </c>
      <c r="E144" s="69">
        <f>SUMIF($E$24:$X$24,$C144,$E$26:$X$26)</f>
        <v>0</v>
      </c>
      <c r="F144" s="69">
        <f>SUMIF($E$27:$X$27,$C144,$E$29:$X$29)</f>
        <v>0</v>
      </c>
      <c r="G144" s="69">
        <f>SUMIF($E$30:$X$30,$C144,$E$32:$X$32)</f>
        <v>0</v>
      </c>
      <c r="H144" s="69">
        <f>SUMIF($E$33:$X$33,$C144,$E$35:$X$35)</f>
        <v>0</v>
      </c>
      <c r="I144" s="69">
        <f>SUMIF($E$36:$X$36,$C144,$E$38:$X$38)</f>
        <v>0</v>
      </c>
      <c r="J144" s="272">
        <f>SUMIF($E$39:$X$39,$C144,$E$41:$X$41)</f>
        <v>0</v>
      </c>
      <c r="K144" s="273">
        <f t="shared" ref="K144:K153" si="76">SUM(E144:J144)</f>
        <v>0</v>
      </c>
      <c r="L144" s="69">
        <f t="shared" ref="L144:L153" si="77">SUMIF($E$22:$X$22,C144,$E$138:$X$138)</f>
        <v>0</v>
      </c>
      <c r="M144" s="265">
        <f t="shared" si="75"/>
        <v>0</v>
      </c>
      <c r="O144" s="74"/>
      <c r="P144" s="74"/>
      <c r="Q144" s="74"/>
      <c r="R144" s="74"/>
      <c r="S144" s="74"/>
      <c r="T144" s="74"/>
      <c r="U144" s="74"/>
      <c r="V144" s="74"/>
      <c r="W144" s="74"/>
      <c r="X144" s="74"/>
      <c r="Y144" s="77"/>
      <c r="Z144" s="78"/>
      <c r="AA144" s="79"/>
    </row>
    <row r="145" spans="3:27" s="75" customFormat="1" ht="13.5" hidden="1" x14ac:dyDescent="0.25">
      <c r="C145" s="85" t="str">
        <f>Listen!B5</f>
        <v>École</v>
      </c>
      <c r="D145" s="86" t="s">
        <v>146</v>
      </c>
      <c r="E145" s="69">
        <f t="shared" ref="E145:E153" si="78">SUMIF($E$24:$X$24,$C145,$E$26:$X$26)</f>
        <v>0</v>
      </c>
      <c r="F145" s="69">
        <f t="shared" ref="F145:F153" si="79">SUMIF($E$27:$X$27,$C145,$E$29:$X$29)</f>
        <v>0</v>
      </c>
      <c r="G145" s="69">
        <f t="shared" ref="G145:G153" si="80">SUMIF($E$30:$X$30,$C145,$E$32:$X$32)</f>
        <v>0</v>
      </c>
      <c r="H145" s="69">
        <f t="shared" ref="H145:H153" si="81">SUMIF($E$33:$X$33,$C145,$E$35:$X$35)</f>
        <v>0</v>
      </c>
      <c r="I145" s="69">
        <f t="shared" ref="I145:I153" si="82">SUMIF($E$36:$X$36,$C145,$E$38:$X$38)</f>
        <v>0</v>
      </c>
      <c r="J145" s="272">
        <f t="shared" ref="J145:J153" si="83">SUMIF($E$39:$X$39,$C145,$E$41:$X$41)</f>
        <v>0</v>
      </c>
      <c r="K145" s="273">
        <f t="shared" si="76"/>
        <v>0</v>
      </c>
      <c r="L145" s="69">
        <f t="shared" si="77"/>
        <v>0</v>
      </c>
      <c r="M145" s="265">
        <f t="shared" si="75"/>
        <v>0</v>
      </c>
      <c r="O145" s="74"/>
      <c r="P145" s="74"/>
      <c r="Q145" s="74"/>
      <c r="R145" s="74"/>
      <c r="S145" s="74"/>
      <c r="T145" s="74"/>
      <c r="U145" s="74"/>
      <c r="V145" s="74"/>
      <c r="W145" s="74"/>
      <c r="X145" s="74"/>
      <c r="Y145" s="77"/>
      <c r="Z145" s="78"/>
      <c r="AA145" s="79"/>
    </row>
    <row r="146" spans="3:27" s="75" customFormat="1" ht="13.5" hidden="1" x14ac:dyDescent="0.25">
      <c r="C146" s="85" t="str">
        <f>Listen!B6</f>
        <v>Commerce</v>
      </c>
      <c r="D146" s="86" t="s">
        <v>146</v>
      </c>
      <c r="E146" s="69">
        <f t="shared" si="78"/>
        <v>0</v>
      </c>
      <c r="F146" s="69">
        <f t="shared" si="79"/>
        <v>0</v>
      </c>
      <c r="G146" s="69">
        <f t="shared" si="80"/>
        <v>0</v>
      </c>
      <c r="H146" s="69">
        <f t="shared" si="81"/>
        <v>0</v>
      </c>
      <c r="I146" s="69">
        <f t="shared" si="82"/>
        <v>0</v>
      </c>
      <c r="J146" s="272">
        <f t="shared" si="83"/>
        <v>0</v>
      </c>
      <c r="K146" s="273">
        <f t="shared" si="76"/>
        <v>0</v>
      </c>
      <c r="L146" s="69">
        <f t="shared" si="77"/>
        <v>0</v>
      </c>
      <c r="M146" s="265">
        <f t="shared" si="75"/>
        <v>0</v>
      </c>
      <c r="O146" s="74"/>
      <c r="P146" s="74"/>
      <c r="Q146" s="74"/>
      <c r="R146" s="74"/>
      <c r="S146" s="74"/>
      <c r="T146" s="74"/>
      <c r="U146" s="74"/>
      <c r="V146" s="74"/>
      <c r="W146" s="74"/>
      <c r="X146" s="74"/>
      <c r="Y146" s="77"/>
      <c r="Z146" s="78"/>
      <c r="AA146" s="79"/>
    </row>
    <row r="147" spans="3:27" s="75" customFormat="1" ht="13.5" hidden="1" x14ac:dyDescent="0.25">
      <c r="C147" s="85" t="str">
        <f>Listen!B7</f>
        <v>Restauration</v>
      </c>
      <c r="D147" s="86" t="s">
        <v>146</v>
      </c>
      <c r="E147" s="69">
        <f t="shared" si="78"/>
        <v>0</v>
      </c>
      <c r="F147" s="69">
        <f t="shared" si="79"/>
        <v>0</v>
      </c>
      <c r="G147" s="69">
        <f t="shared" si="80"/>
        <v>0</v>
      </c>
      <c r="H147" s="69">
        <f t="shared" si="81"/>
        <v>0</v>
      </c>
      <c r="I147" s="69">
        <f t="shared" si="82"/>
        <v>0</v>
      </c>
      <c r="J147" s="272">
        <f t="shared" si="83"/>
        <v>0</v>
      </c>
      <c r="K147" s="273">
        <f t="shared" si="76"/>
        <v>0</v>
      </c>
      <c r="L147" s="69">
        <f t="shared" si="77"/>
        <v>0</v>
      </c>
      <c r="M147" s="265">
        <f t="shared" si="75"/>
        <v>0</v>
      </c>
      <c r="O147" s="74"/>
      <c r="P147" s="74"/>
      <c r="Q147" s="74"/>
      <c r="R147" s="74"/>
      <c r="S147" s="74"/>
      <c r="T147" s="74"/>
      <c r="U147" s="74"/>
      <c r="V147" s="74"/>
      <c r="W147" s="74"/>
      <c r="X147" s="74"/>
      <c r="Y147" s="77"/>
      <c r="Z147" s="78"/>
      <c r="AA147" s="79"/>
    </row>
    <row r="148" spans="3:27" s="75" customFormat="1" ht="13.5" hidden="1" x14ac:dyDescent="0.25">
      <c r="C148" s="85" t="str">
        <f>Listen!B8</f>
        <v>Lieu de rassemblement</v>
      </c>
      <c r="D148" s="86" t="s">
        <v>146</v>
      </c>
      <c r="E148" s="69">
        <f t="shared" si="78"/>
        <v>0</v>
      </c>
      <c r="F148" s="69">
        <f t="shared" si="79"/>
        <v>0</v>
      </c>
      <c r="G148" s="69">
        <f t="shared" si="80"/>
        <v>0</v>
      </c>
      <c r="H148" s="69">
        <f t="shared" si="81"/>
        <v>0</v>
      </c>
      <c r="I148" s="69">
        <f t="shared" si="82"/>
        <v>0</v>
      </c>
      <c r="J148" s="272">
        <f t="shared" si="83"/>
        <v>0</v>
      </c>
      <c r="K148" s="273">
        <f t="shared" si="76"/>
        <v>0</v>
      </c>
      <c r="L148" s="69">
        <f t="shared" si="77"/>
        <v>0</v>
      </c>
      <c r="M148" s="265">
        <f t="shared" si="75"/>
        <v>0</v>
      </c>
      <c r="O148" s="74"/>
      <c r="P148" s="74"/>
      <c r="Q148" s="74"/>
      <c r="R148" s="74"/>
      <c r="S148" s="74"/>
      <c r="T148" s="74"/>
      <c r="U148" s="74"/>
      <c r="V148" s="74"/>
      <c r="W148" s="74"/>
      <c r="X148" s="74"/>
      <c r="Y148" s="77"/>
      <c r="Z148" s="78"/>
      <c r="AA148" s="79"/>
    </row>
    <row r="149" spans="3:27" s="75" customFormat="1" ht="13.5" hidden="1" x14ac:dyDescent="0.25">
      <c r="C149" s="85" t="str">
        <f>Listen!B9</f>
        <v>Hôpital</v>
      </c>
      <c r="D149" s="86" t="s">
        <v>146</v>
      </c>
      <c r="E149" s="69">
        <f t="shared" si="78"/>
        <v>0</v>
      </c>
      <c r="F149" s="69">
        <f t="shared" si="79"/>
        <v>0</v>
      </c>
      <c r="G149" s="69">
        <f t="shared" si="80"/>
        <v>0</v>
      </c>
      <c r="H149" s="69">
        <f t="shared" si="81"/>
        <v>0</v>
      </c>
      <c r="I149" s="69">
        <f t="shared" si="82"/>
        <v>0</v>
      </c>
      <c r="J149" s="272">
        <f t="shared" si="83"/>
        <v>0</v>
      </c>
      <c r="K149" s="273">
        <f t="shared" si="76"/>
        <v>0</v>
      </c>
      <c r="L149" s="69">
        <f t="shared" si="77"/>
        <v>0</v>
      </c>
      <c r="M149" s="265">
        <f t="shared" si="75"/>
        <v>0</v>
      </c>
      <c r="O149" s="74"/>
      <c r="P149" s="74"/>
      <c r="Q149" s="74"/>
      <c r="R149" s="74"/>
      <c r="S149" s="74"/>
      <c r="T149" s="74"/>
      <c r="U149" s="74"/>
      <c r="V149" s="74"/>
      <c r="W149" s="74"/>
      <c r="X149" s="74"/>
      <c r="Y149" s="77"/>
      <c r="Z149" s="78"/>
      <c r="AA149" s="79"/>
    </row>
    <row r="150" spans="3:27" s="75" customFormat="1" ht="13.5" hidden="1" x14ac:dyDescent="0.25">
      <c r="C150" s="85" t="str">
        <f>Listen!B10</f>
        <v>Industrie</v>
      </c>
      <c r="D150" s="86" t="s">
        <v>146</v>
      </c>
      <c r="E150" s="69">
        <f t="shared" si="78"/>
        <v>0</v>
      </c>
      <c r="F150" s="69">
        <f t="shared" si="79"/>
        <v>0</v>
      </c>
      <c r="G150" s="69">
        <f t="shared" si="80"/>
        <v>0</v>
      </c>
      <c r="H150" s="69">
        <f t="shared" si="81"/>
        <v>0</v>
      </c>
      <c r="I150" s="69">
        <f t="shared" si="82"/>
        <v>0</v>
      </c>
      <c r="J150" s="272">
        <f t="shared" si="83"/>
        <v>0</v>
      </c>
      <c r="K150" s="273">
        <f t="shared" si="76"/>
        <v>0</v>
      </c>
      <c r="L150" s="69">
        <f t="shared" si="77"/>
        <v>0</v>
      </c>
      <c r="M150" s="265">
        <f t="shared" si="75"/>
        <v>0</v>
      </c>
      <c r="O150" s="74"/>
      <c r="P150" s="74"/>
      <c r="Q150" s="74"/>
      <c r="R150" s="74"/>
      <c r="S150" s="74"/>
      <c r="T150" s="74"/>
      <c r="U150" s="74"/>
      <c r="V150" s="74"/>
      <c r="W150" s="74"/>
      <c r="X150" s="74"/>
      <c r="Y150" s="77"/>
      <c r="Z150" s="78"/>
      <c r="AA150" s="79"/>
    </row>
    <row r="151" spans="3:27" s="75" customFormat="1" ht="13.5" hidden="1" x14ac:dyDescent="0.25">
      <c r="C151" s="85" t="str">
        <f>Listen!B11</f>
        <v>Dépôt</v>
      </c>
      <c r="D151" s="86" t="s">
        <v>146</v>
      </c>
      <c r="E151" s="69">
        <f t="shared" si="78"/>
        <v>0</v>
      </c>
      <c r="F151" s="69">
        <f t="shared" si="79"/>
        <v>0</v>
      </c>
      <c r="G151" s="69">
        <f t="shared" si="80"/>
        <v>0</v>
      </c>
      <c r="H151" s="69">
        <f t="shared" si="81"/>
        <v>0</v>
      </c>
      <c r="I151" s="69">
        <f t="shared" si="82"/>
        <v>0</v>
      </c>
      <c r="J151" s="272">
        <f t="shared" si="83"/>
        <v>0</v>
      </c>
      <c r="K151" s="273">
        <f t="shared" si="76"/>
        <v>0</v>
      </c>
      <c r="L151" s="69">
        <f t="shared" si="77"/>
        <v>0</v>
      </c>
      <c r="M151" s="265">
        <f t="shared" si="75"/>
        <v>0</v>
      </c>
      <c r="O151" s="74"/>
      <c r="P151" s="74"/>
      <c r="Q151" s="74"/>
      <c r="R151" s="74"/>
      <c r="S151" s="74"/>
      <c r="T151" s="74"/>
      <c r="U151" s="74"/>
      <c r="V151" s="74"/>
      <c r="W151" s="74"/>
      <c r="X151" s="74"/>
      <c r="Y151" s="77"/>
      <c r="Z151" s="78"/>
      <c r="AA151" s="79"/>
    </row>
    <row r="152" spans="3:27" s="75" customFormat="1" ht="13.5" hidden="1" x14ac:dyDescent="0.25">
      <c r="C152" s="85" t="str">
        <f>Listen!B12</f>
        <v>Installation sportive</v>
      </c>
      <c r="D152" s="86" t="s">
        <v>146</v>
      </c>
      <c r="E152" s="69">
        <f t="shared" si="78"/>
        <v>0</v>
      </c>
      <c r="F152" s="69">
        <f t="shared" si="79"/>
        <v>0</v>
      </c>
      <c r="G152" s="69">
        <f t="shared" si="80"/>
        <v>0</v>
      </c>
      <c r="H152" s="69">
        <f t="shared" si="81"/>
        <v>0</v>
      </c>
      <c r="I152" s="69">
        <f t="shared" si="82"/>
        <v>0</v>
      </c>
      <c r="J152" s="272">
        <f t="shared" si="83"/>
        <v>0</v>
      </c>
      <c r="K152" s="273">
        <f t="shared" si="76"/>
        <v>0</v>
      </c>
      <c r="L152" s="69">
        <f t="shared" si="77"/>
        <v>0</v>
      </c>
      <c r="M152" s="265">
        <f t="shared" si="75"/>
        <v>0</v>
      </c>
      <c r="O152" s="74"/>
      <c r="P152" s="74"/>
      <c r="Q152" s="74"/>
      <c r="R152" s="74"/>
      <c r="S152" s="74"/>
      <c r="T152" s="74"/>
      <c r="U152" s="74"/>
      <c r="V152" s="74"/>
      <c r="W152" s="74"/>
      <c r="X152" s="74"/>
      <c r="Y152" s="77"/>
      <c r="Z152" s="78"/>
      <c r="AA152" s="79"/>
    </row>
    <row r="153" spans="3:27" s="75" customFormat="1" ht="13.5" hidden="1" x14ac:dyDescent="0.25">
      <c r="C153" s="93" t="str">
        <f>Listen!B13</f>
        <v>Piscine couverte</v>
      </c>
      <c r="D153" s="94" t="s">
        <v>146</v>
      </c>
      <c r="E153" s="62">
        <f t="shared" si="78"/>
        <v>0</v>
      </c>
      <c r="F153" s="62">
        <f t="shared" si="79"/>
        <v>0</v>
      </c>
      <c r="G153" s="62">
        <f t="shared" si="80"/>
        <v>0</v>
      </c>
      <c r="H153" s="62">
        <f t="shared" si="81"/>
        <v>0</v>
      </c>
      <c r="I153" s="62">
        <f t="shared" si="82"/>
        <v>0</v>
      </c>
      <c r="J153" s="280">
        <f t="shared" si="83"/>
        <v>0</v>
      </c>
      <c r="K153" s="274">
        <f t="shared" si="76"/>
        <v>0</v>
      </c>
      <c r="L153" s="62">
        <f t="shared" si="77"/>
        <v>0</v>
      </c>
      <c r="M153" s="368">
        <f t="shared" si="75"/>
        <v>0</v>
      </c>
      <c r="O153" s="74"/>
      <c r="P153" s="74"/>
      <c r="Q153" s="74"/>
      <c r="R153" s="74"/>
      <c r="S153" s="74"/>
      <c r="T153" s="74"/>
      <c r="U153" s="74"/>
      <c r="V153" s="74"/>
      <c r="W153" s="74"/>
      <c r="X153" s="74"/>
      <c r="Y153" s="77"/>
      <c r="Z153" s="78"/>
      <c r="AA153" s="79"/>
    </row>
    <row r="154" spans="3:27" hidden="1" x14ac:dyDescent="0.2">
      <c r="M154" s="385">
        <f>SUM(M142:M153)</f>
        <v>0</v>
      </c>
    </row>
  </sheetData>
  <sheetProtection algorithmName="SHA-512" hashValue="sLz1Y4Ia4cdFzb1rgCc8/BlpzRPHKY+TwoLagWyFERDuG/NUUufM2zU2vanjYUnh3n34K4mOL8HgXZUSx7T5lg==" saltValue="nTmJNv+N5aSqtJ4l9goJjQ==" spinCount="100000" sheet="1" formatColumns="0" selectLockedCells="1"/>
  <mergeCells count="10">
    <mergeCell ref="C43:D43"/>
    <mergeCell ref="C61:D61"/>
    <mergeCell ref="F2:G2"/>
    <mergeCell ref="B36:B38"/>
    <mergeCell ref="B39:B41"/>
    <mergeCell ref="B24:B26"/>
    <mergeCell ref="B27:B29"/>
    <mergeCell ref="B30:B32"/>
    <mergeCell ref="B33:B35"/>
    <mergeCell ref="C23:D23"/>
  </mergeCells>
  <phoneticPr fontId="1" type="noConversion"/>
  <conditionalFormatting sqref="E12:X12">
    <cfRule type="expression" dxfId="39" priority="49">
      <formula>IF(COUNTA(E$10)&gt;0,1,0)</formula>
    </cfRule>
  </conditionalFormatting>
  <conditionalFormatting sqref="E13:X13">
    <cfRule type="expression" dxfId="38" priority="12">
      <formula>IF(ISBLANK(E12),1,0)</formula>
    </cfRule>
  </conditionalFormatting>
  <conditionalFormatting sqref="E14:X14 E68:X68">
    <cfRule type="expression" dxfId="37" priority="50">
      <formula>IF(ISBLANK(E$10),0,1)</formula>
    </cfRule>
  </conditionalFormatting>
  <conditionalFormatting sqref="E16:X16">
    <cfRule type="expression" dxfId="36" priority="1">
      <formula>IF(COUNTA(E$10)&gt;0,1,0)</formula>
    </cfRule>
  </conditionalFormatting>
  <conditionalFormatting sqref="E17:X17">
    <cfRule type="expression" dxfId="35" priority="276">
      <formula>IF(E$16=Bestandesbau,1,0)</formula>
    </cfRule>
  </conditionalFormatting>
  <conditionalFormatting sqref="E19:X19">
    <cfRule type="expression" dxfId="34" priority="444">
      <formula>IF(E$17=MinergieZert,1,0)</formula>
    </cfRule>
  </conditionalFormatting>
  <conditionalFormatting sqref="E20:X20">
    <cfRule type="expression" dxfId="33" priority="65">
      <formula>IF(AND(COUNTA(E$10)&gt;0,OR(E$18=Neubau,E$18=Erneuerung)),1,0)</formula>
    </cfRule>
  </conditionalFormatting>
  <conditionalFormatting sqref="E21:X21">
    <cfRule type="expression" dxfId="32" priority="446">
      <formula>IF(AND(COUNTA(E$10)&gt;0,E$17&lt;&gt;MinergieZert,E$17&lt;&gt;WeitereAusnahmen,E$17&lt;&gt;Schutzinv),1,0)</formula>
    </cfRule>
  </conditionalFormatting>
  <conditionalFormatting sqref="E22:X22">
    <cfRule type="expression" dxfId="31" priority="2">
      <formula>IF(OR(ISBLANK(E$10),E$18=Neubau),0,1)</formula>
    </cfRule>
  </conditionalFormatting>
  <conditionalFormatting sqref="E24:X24">
    <cfRule type="expression" dxfId="30" priority="17">
      <formula>IF(E$18=Neubau,1,0)</formula>
    </cfRule>
  </conditionalFormatting>
  <conditionalFormatting sqref="E25:X25">
    <cfRule type="expression" dxfId="29" priority="53">
      <formula>IF(ISBLANK(E24),0,IF(E$18=Neubau,1,0))</formula>
    </cfRule>
  </conditionalFormatting>
  <conditionalFormatting sqref="E26:X26 E29:X29 E32:X32 E35:X35 E38:X38 E41:X41">
    <cfRule type="cellIs" dxfId="28" priority="10" operator="equal">
      <formula>0</formula>
    </cfRule>
  </conditionalFormatting>
  <conditionalFormatting sqref="E27:X27">
    <cfRule type="expression" dxfId="27" priority="461">
      <formula>IF(AND(E$18=Neubau,E$25&lt;1),1,0)</formula>
    </cfRule>
  </conditionalFormatting>
  <conditionalFormatting sqref="E28:X28 E31:X31 E34:X34 E37:X37">
    <cfRule type="expression" dxfId="26" priority="54">
      <formula>IF(OR(ISBLANK(E27),ISBLANK(E24)),0,IF(E$18=Neubau,1,0))</formula>
    </cfRule>
  </conditionalFormatting>
  <conditionalFormatting sqref="E30:X30">
    <cfRule type="expression" dxfId="25" priority="466">
      <formula>IF(AND(E$18=Neubau,SUM(E$25,E$28)&lt;1),1,0)</formula>
    </cfRule>
  </conditionalFormatting>
  <conditionalFormatting sqref="E33:X33">
    <cfRule type="expression" dxfId="24" priority="467">
      <formula>IF(AND(E$18=Neubau,SUM(E$25,E$28,E$31)&lt;1),1,0)</formula>
    </cfRule>
  </conditionalFormatting>
  <conditionalFormatting sqref="E36:X36">
    <cfRule type="expression" dxfId="23" priority="468">
      <formula>IF(AND(E$18=Neubau,SUM(E$25,E$28,E$31,E$34)&lt;1),1,0)</formula>
    </cfRule>
  </conditionalFormatting>
  <conditionalFormatting sqref="E39:X39">
    <cfRule type="expression" dxfId="22" priority="469">
      <formula>IF(AND(E$18=Neubau,SUM(E$25,E$28,E$31,E$34,E$37)&lt;1),1,0)</formula>
    </cfRule>
  </conditionalFormatting>
  <conditionalFormatting sqref="E40:X40">
    <cfRule type="expression" dxfId="21" priority="64">
      <formula>IF(OR(ISBLANK(E39),ISBLANK(E37)),0,IF(E$18=Neubau,1,0))</formula>
    </cfRule>
  </conditionalFormatting>
  <conditionalFormatting sqref="E43:X43">
    <cfRule type="expression" dxfId="20" priority="459">
      <formula>IF(E$17=Schutzinv,1,0)</formula>
    </cfRule>
  </conditionalFormatting>
  <conditionalFormatting sqref="E45:X45">
    <cfRule type="expression" dxfId="19" priority="28">
      <formula>IF(COUNTA(E$10)&gt;0,1,0)</formula>
    </cfRule>
  </conditionalFormatting>
  <conditionalFormatting sqref="E48:X48">
    <cfRule type="expression" dxfId="18" priority="23">
      <formula>IF(E$18=Neubau,1,0)</formula>
    </cfRule>
  </conditionalFormatting>
  <conditionalFormatting sqref="E54:X54">
    <cfRule type="expression" dxfId="15" priority="20">
      <formula>IF(E18=Neubau,1,0)</formula>
    </cfRule>
  </conditionalFormatting>
  <conditionalFormatting sqref="E56:X59">
    <cfRule type="expression" dxfId="14" priority="295">
      <formula>IF(COUNTA(E$10)&gt;0,1)</formula>
    </cfRule>
  </conditionalFormatting>
  <conditionalFormatting sqref="E63:X64">
    <cfRule type="expression" dxfId="12" priority="269">
      <formula>IF(AND(COUNTA(E$10)&gt;0,$D$62=Ja,E$127&gt;0),1,0)</formula>
    </cfRule>
  </conditionalFormatting>
  <conditionalFormatting sqref="E65:X66">
    <cfRule type="expression" dxfId="11" priority="274">
      <formula>IF(AND(COUNTA(E$10)&gt;0,$D$62=Ja,E$128&gt;0),1,0)</formula>
    </cfRule>
  </conditionalFormatting>
  <conditionalFormatting sqref="X8">
    <cfRule type="expression" dxfId="10" priority="24">
      <formula>IF(CELL("breite",W1)=0,1,0)</formula>
    </cfRule>
  </conditionalFormatting>
  <dataValidations count="16">
    <dataValidation type="list" allowBlank="1" showInputMessage="1" showErrorMessage="1" sqref="E56:X59" xr:uid="{48C5D25A-AE8A-4242-8916-C63F6E7BEBE2}">
      <formula1>IF(ISBLANK(E$10),LST_Leer,LSTWärme)</formula1>
    </dataValidation>
    <dataValidation type="list" allowBlank="1" showInputMessage="1" showErrorMessage="1" sqref="D62" xr:uid="{3D2EA5B3-93C8-4B19-B6DE-1D1E0E2ABC11}">
      <formula1>LST_JaNein</formula1>
    </dataValidation>
    <dataValidation type="decimal" allowBlank="1" showInputMessage="1" showErrorMessage="1" sqref="E50:X50 E12:X12 E60:X60 E45:X45" xr:uid="{1E038FD1-2794-4DCD-8D79-70C570B0DAB6}">
      <formula1>0</formula1>
      <formula2>1000000</formula2>
    </dataValidation>
    <dataValidation type="decimal" allowBlank="1" showInputMessage="1" showErrorMessage="1" sqref="E54:X54 E51:X52" xr:uid="{20A3905A-9A1D-49FD-BB6C-94D803BE15A5}">
      <formula1>0</formula1>
      <formula2>1000</formula2>
    </dataValidation>
    <dataValidation type="decimal" allowBlank="1" showInputMessage="1" showErrorMessage="1" sqref="E25:X25 E28:X28 E31:X31 E37:X37 E34:X34 E40:X40" xr:uid="{13192E8F-541B-4439-9213-EC5C08C273AA}">
      <formula1>0</formula1>
      <formula2>IF(E$18=Neubau,1,0)</formula2>
    </dataValidation>
    <dataValidation type="list" allowBlank="1" showInputMessage="1" showErrorMessage="1" sqref="E39:X39 E36:X36 E33:X33 E30:X30 E27:X27 E24:X24" xr:uid="{9671F67B-4BA7-4E08-9E88-76CBB22C66EA}">
      <formula1>IF(E$18=Neubau,LSTGebKat,LST_Leer)</formula1>
    </dataValidation>
    <dataValidation type="decimal" allowBlank="1" showInputMessage="1" showErrorMessage="1" sqref="E14:X14" xr:uid="{A260D716-F38E-4A06-B595-C765F6782675}">
      <formula1>0</formula1>
      <formula2>E12</formula2>
    </dataValidation>
    <dataValidation type="whole" allowBlank="1" showInputMessage="1" showErrorMessage="1" errorTitle="Jahr" error="Jahr zwischen 0 und 2100." sqref="E21:X21" xr:uid="{C1964909-15E5-4213-A8EB-883E2257D544}">
      <formula1>0</formula1>
      <formula2>2100</formula2>
    </dataValidation>
    <dataValidation type="list" allowBlank="1" showInputMessage="1" showErrorMessage="1" sqref="E16:X16" xr:uid="{A88196DA-5F5B-4087-B682-FFEC01159446}">
      <formula1>IF(ISBLANK(E$10),LST_Leer,LSTNeubau)</formula1>
    </dataValidation>
    <dataValidation type="list" allowBlank="1" showInputMessage="1" showErrorMessage="1" sqref="E43:X43" xr:uid="{772D9BC9-FA0C-4B6E-90BF-AC8F4F896E0E}">
      <formula1>IF(E$17=Schutzinv,LST_PV_Zulässigkeit,LST_Leer)</formula1>
    </dataValidation>
    <dataValidation type="list" allowBlank="1" showInputMessage="1" showErrorMessage="1" sqref="E22:X22" xr:uid="{83BC1C40-A68F-4ACE-8C76-5C6176E30EE3}">
      <formula1>IF(AND(ISBLANK(E$10),E$18&lt;&gt;Neubau),LST_Leer,LSTGebKat)</formula1>
    </dataValidation>
    <dataValidation type="list" allowBlank="1" showInputMessage="1" showErrorMessage="1" sqref="E20:X20" xr:uid="{D536D12A-D116-4D58-8F61-53B0C14DD6AC}">
      <formula1>IF(OR(E$18=Erneuerung,E$18=Neubau),LSTMinStandard,LST_Leer)</formula1>
    </dataValidation>
    <dataValidation type="list" allowBlank="1" showInputMessage="1" showErrorMessage="1" sqref="E17:X17" xr:uid="{E9B59C24-2199-4941-B590-61F8319DB045}">
      <formula1>IF(E$16=Bestandesbau,LST_Erneuerung,LST_Leer)</formula1>
    </dataValidation>
    <dataValidation type="list" allowBlank="1" showInputMessage="1" showErrorMessage="1" sqref="E48:X48" xr:uid="{1E1AFE24-2802-4BFA-BC1C-D30F4AAED7A8}">
      <formula1>IF(E$18=Neubau,LST_JaNein,LST_Leer)</formula1>
    </dataValidation>
    <dataValidation type="list" allowBlank="1" showInputMessage="1" showErrorMessage="1" sqref="E49:X49" xr:uid="{97351152-7483-4625-9D6C-46D6C9A41507}">
      <formula1>IF(E$48=Ja,LSTGebKat,LST_Leer)</formula1>
    </dataValidation>
    <dataValidation type="list" allowBlank="1" showInputMessage="1" showErrorMessage="1" sqref="E17:X17" xr:uid="{D7E45686-B31E-40DA-AC02-B3724E8B9756}">
      <formula1>IF(E$16=Neubau,LST_Leer,LST_Erneuerung)</formula1>
    </dataValidation>
  </dataValidations>
  <pageMargins left="0.70866141732283472" right="0.70866141732283472" top="0.78740157480314965" bottom="0.78740157480314965" header="0.31496062992125984" footer="0.31496062992125984"/>
  <pageSetup paperSize="9" scale="34" fitToWidth="0" orientation="landscape" r:id="rId1"/>
  <ignoredErrors>
    <ignoredError sqref="C53 C39 C27:C28 C30:C31 C33:C34 C36:C37" 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2" id="{D37E2C7B-05A1-47E6-90E7-536B3C99AB1D}">
            <xm:f>IF(E$48=Uebersetzung!$D$110,1,0)</xm:f>
            <x14:dxf>
              <fill>
                <patternFill>
                  <bgColor rgb="FFEEFFDD"/>
                </patternFill>
              </fill>
            </x14:dxf>
          </x14:cfRule>
          <xm:sqref>E49:X49</xm:sqref>
        </x14:conditionalFormatting>
        <x14:conditionalFormatting xmlns:xm="http://schemas.microsoft.com/office/excel/2006/main">
          <x14:cfRule type="expression" priority="21" id="{15BD7B53-93C2-4561-BBF0-5ACFA7D4279F}">
            <xm:f>IF(E$48=Uebersetzung!$D$110,1,0)</xm:f>
            <x14:dxf>
              <fill>
                <patternFill>
                  <bgColor rgb="FFFFFF00"/>
                </patternFill>
              </fill>
            </x14:dxf>
          </x14:cfRule>
          <xm:sqref>E50:X51</xm:sqref>
        </x14:conditionalFormatting>
        <x14:conditionalFormatting xmlns:xm="http://schemas.microsoft.com/office/excel/2006/main">
          <x14:cfRule type="expression" priority="372" id="{10BEF0CB-8834-4A39-A824-C06CBC373D07}">
            <xm:f>IF(OR(E$56=Listen!$B$57,E$57=Listen!$B$57,E$58=Listen!$B$57),1,0)</xm:f>
            <x14:dxf>
              <fill>
                <patternFill>
                  <bgColor rgb="FFFFFF00"/>
                </patternFill>
              </fill>
            </x14:dxf>
          </x14:cfRule>
          <xm:sqref>E60:X60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C0DC3-C0D1-4C5F-8DA7-C3A657411ECB}">
  <sheetPr>
    <pageSetUpPr fitToPage="1"/>
  </sheetPr>
  <dimension ref="B1:Q53"/>
  <sheetViews>
    <sheetView showGridLines="0" zoomScaleNormal="100" zoomScalePageLayoutView="85" workbookViewId="0">
      <selection activeCell="B29" sqref="B29"/>
    </sheetView>
  </sheetViews>
  <sheetFormatPr baseColWidth="10" defaultColWidth="10.85546875" defaultRowHeight="12" x14ac:dyDescent="0.2"/>
  <cols>
    <col min="1" max="1" width="4.140625" style="1" customWidth="1"/>
    <col min="2" max="2" width="65.85546875" style="1" customWidth="1"/>
    <col min="3" max="3" width="16.5703125" style="3" customWidth="1"/>
    <col min="4" max="4" width="2" style="3" customWidth="1"/>
    <col min="5" max="5" width="14.85546875" style="1" customWidth="1"/>
    <col min="6" max="6" width="15.5703125" style="1" customWidth="1"/>
    <col min="7" max="7" width="15.5703125" style="1" bestFit="1" customWidth="1"/>
    <col min="8" max="12" width="10.85546875" style="1"/>
    <col min="13" max="13" width="10.140625" style="1" customWidth="1"/>
    <col min="14" max="16384" width="10.85546875" style="1"/>
  </cols>
  <sheetData>
    <row r="1" spans="2:17" x14ac:dyDescent="0.2">
      <c r="C1" s="1"/>
      <c r="D1" s="1"/>
      <c r="E1" s="3"/>
      <c r="F1" s="3"/>
      <c r="G1" s="3"/>
      <c r="H1" s="3"/>
      <c r="I1" s="3"/>
      <c r="J1" s="3"/>
      <c r="K1" s="3"/>
      <c r="L1" s="3"/>
      <c r="M1" s="3"/>
      <c r="N1" s="3"/>
      <c r="O1" s="3"/>
      <c r="P1" s="9"/>
      <c r="Q1" s="7"/>
    </row>
    <row r="2" spans="2:17" ht="54" customHeight="1" x14ac:dyDescent="0.2">
      <c r="B2" s="11"/>
      <c r="C2" s="315" t="str">
        <f>Uebersetzung!D72</f>
        <v>Aperçu</v>
      </c>
      <c r="D2" s="315"/>
      <c r="E2" s="428" t="str">
        <f>Uebersetzung!D4</f>
        <v>Outil d'aide pour les exigences A1.1, C1.1, C1.4 et C2.1</v>
      </c>
      <c r="F2" s="428"/>
      <c r="G2" s="13" t="str">
        <f>Uebersetzung!D11&amp;" "&amp;Uebersetzung!C2&amp;"."&amp;Uebersetzung!A2</f>
        <v>Version 2025.1</v>
      </c>
      <c r="I2" s="3"/>
      <c r="J2" s="3"/>
      <c r="K2" s="3"/>
      <c r="L2" s="3"/>
      <c r="M2" s="3"/>
      <c r="N2" s="3"/>
      <c r="O2" s="3"/>
      <c r="P2" s="9"/>
      <c r="Q2" s="7"/>
    </row>
    <row r="3" spans="2:17" ht="16.5" customHeight="1" x14ac:dyDescent="0.2">
      <c r="C3" s="5"/>
      <c r="D3" s="5"/>
      <c r="E3" s="10"/>
      <c r="F3" s="10"/>
      <c r="G3" s="3"/>
      <c r="H3" s="14"/>
      <c r="I3" s="3"/>
      <c r="J3" s="3"/>
      <c r="K3" s="3"/>
      <c r="L3" s="3"/>
      <c r="M3" s="3"/>
      <c r="N3" s="3"/>
      <c r="O3" s="3"/>
      <c r="P3" s="9"/>
      <c r="Q3" s="7"/>
    </row>
    <row r="4" spans="2:17" ht="30" customHeight="1" x14ac:dyDescent="0.2">
      <c r="B4" s="2" t="str">
        <f>Uebersetzung!D136</f>
        <v>Respect des exigences Minergie-Quartier Thèmes A et C</v>
      </c>
    </row>
    <row r="5" spans="2:17" ht="22.5" customHeight="1" x14ac:dyDescent="0.2">
      <c r="B5" s="191" t="str">
        <f>Uebersetzung!D140</f>
        <v>Exigences Minergie-Quartier</v>
      </c>
      <c r="D5" s="437" t="str">
        <f>Uebersetzung!D40</f>
        <v>Exigence</v>
      </c>
      <c r="E5" s="438"/>
      <c r="F5" s="192" t="str">
        <f>Uebersetzung!D41</f>
        <v>Valeur du projet</v>
      </c>
      <c r="G5" s="193" t="str">
        <f>Uebersetzung!D73</f>
        <v>Respecté?</v>
      </c>
    </row>
    <row r="6" spans="2:17" ht="22.5" customHeight="1" x14ac:dyDescent="0.2">
      <c r="B6" s="194" t="str">
        <f>Uebersetzung!D168</f>
        <v>A1.1 Certification Minergie (-P/-A/-ECO)</v>
      </c>
      <c r="C6" s="231"/>
      <c r="D6" s="195"/>
      <c r="E6" s="195"/>
      <c r="F6" s="195"/>
      <c r="G6" s="196"/>
    </row>
    <row r="7" spans="2:17" ht="22.5" customHeight="1" x14ac:dyDescent="0.2">
      <c r="B7" s="440" t="str">
        <f>Uebersetzung!D157&amp;": "&amp;Uebersetzung!D70</f>
        <v>Bâtiments existants: Rénovation selon CECB A/B/C ou SNBS</v>
      </c>
      <c r="C7" s="441"/>
      <c r="D7" s="198" t="s">
        <v>33</v>
      </c>
      <c r="E7" s="199">
        <v>0.2</v>
      </c>
      <c r="F7" s="200" t="str">
        <f>IFERROR(SUMIF(AusnahmeAreal,GEAK_SNBS,EBFAreal)/$F$22,Uebersetzung!D139)</f>
        <v>Entrée manquante</v>
      </c>
      <c r="G7" s="445" t="str">
        <f>IF(COUNTA(Eingabe!E10:X10)=0,"-",IF(AND(OR(F7&lt;=E7,SUM(F7:F8)&lt;=SUM(E7:E8)),F8&lt;=E8),Uebersetzung!D$110,Uebersetzung!D$111))</f>
        <v>-</v>
      </c>
    </row>
    <row r="8" spans="2:17" ht="22.5" customHeight="1" x14ac:dyDescent="0.2">
      <c r="B8" s="202" t="str">
        <f>Uebersetzung!D157&amp;": "&amp;WeitereAusnahmen</f>
        <v>Bâtiments existants: Pas de rénovation (aucune raison)</v>
      </c>
      <c r="C8" s="72"/>
      <c r="D8" s="203" t="s">
        <v>33</v>
      </c>
      <c r="E8" s="204">
        <v>0.1</v>
      </c>
      <c r="F8" s="205" t="str">
        <f>IFERROR(SUMIF(AusnahmeAreal,WeitereAusnahmen,EBFAreal)/$F$22,Uebersetzung!D139)</f>
        <v>Entrée manquante</v>
      </c>
      <c r="G8" s="446"/>
    </row>
    <row r="9" spans="2:17" s="4" customFormat="1" ht="22.5" customHeight="1" x14ac:dyDescent="0.25">
      <c r="B9" s="206" t="str">
        <f>Uebersetzung!D126</f>
        <v>Qh et MKZ sont-ils compensés entre les bâtiments Minergie ?</v>
      </c>
      <c r="C9" s="207" t="str">
        <f>IF(ISBLANK(Eingabe!D62),"-",Eingabe!D62)</f>
        <v>-</v>
      </c>
      <c r="D9" s="208"/>
      <c r="E9" s="209"/>
      <c r="F9" s="209"/>
      <c r="G9" s="210"/>
    </row>
    <row r="10" spans="2:17" s="4" customFormat="1" ht="22.5" customHeight="1" x14ac:dyDescent="0.25">
      <c r="B10" s="211" t="str">
        <f>Uebersetzung!D108&amp;" "&amp;Uebersetzung!D24&amp;" "&amp;Uebersetzung!D171</f>
        <v>Moyenne Indice Minergie (MKZ) de toutes les nouvelles constructions et rénovations</v>
      </c>
      <c r="C10" s="59" t="s">
        <v>7</v>
      </c>
      <c r="D10" s="198" t="s">
        <v>33</v>
      </c>
      <c r="E10" s="212" t="str">
        <f>IF($C$9=Ja,IFERROR(Eingabe!Z63,Uebersetzung!D139),"-")</f>
        <v>-</v>
      </c>
      <c r="F10" s="213" t="str">
        <f>IF($C$9=Ja,IFERROR(Eingabe!Z64,Uebersetzung!D139),"-")</f>
        <v>-</v>
      </c>
      <c r="G10" s="214" t="str">
        <f>IF(OR(E10="-",C9=Nein),"-",IF(F10&lt;=E10,Uebersetzung!D$110,Uebersetzung!D$111))</f>
        <v>-</v>
      </c>
    </row>
    <row r="11" spans="2:17" s="4" customFormat="1" ht="22.5" customHeight="1" x14ac:dyDescent="0.25">
      <c r="B11" s="211" t="str">
        <f>Uebersetzung!D102&amp;" "&amp;Uebersetzung!D25&amp;" "&amp;Uebersetzung!D172</f>
        <v>Moyen Besoin de chaleur pour le chauffage (Qh) de toutes les nouvelles constructions</v>
      </c>
      <c r="C11" s="59" t="s">
        <v>7</v>
      </c>
      <c r="D11" s="198" t="s">
        <v>33</v>
      </c>
      <c r="E11" s="212" t="str">
        <f>IF($C$9=Ja,IFERROR(Eingabe!Z65,Uebersetzung!D139),"-")</f>
        <v>-</v>
      </c>
      <c r="F11" s="213" t="str">
        <f>IF($C$9=Ja,IFERROR(Eingabe!Z66,Uebersetzung!D139),"-")</f>
        <v>-</v>
      </c>
      <c r="G11" s="214" t="str">
        <f>IF(OR(E11="-",C9=Nein),"-",IF(F11&lt;=E11,Uebersetzung!D$110,Uebersetzung!D$111))</f>
        <v>-</v>
      </c>
    </row>
    <row r="12" spans="2:17" s="4" customFormat="1" ht="22.5" customHeight="1" x14ac:dyDescent="0.25">
      <c r="B12" s="215" t="str">
        <f>Uebersetzung!D102&amp;" "&amp;Uebersetzung!D25&amp;" "&amp;Uebersetzung!D29</f>
        <v>Moyen Besoin de chaleur pour le chauffage (Qh) Bâtiment Minergie-P(-ECO)</v>
      </c>
      <c r="C12" s="56" t="s">
        <v>7</v>
      </c>
      <c r="D12" s="216" t="s">
        <v>33</v>
      </c>
      <c r="E12" s="217" t="str">
        <f>IF($C$9=Ja,IFERROR(SUMPRODUCT(Eingabe!E65:X65,Eingabe!E129:X129)/Eingabe!Z129,Uebersetzung!D139),"-")</f>
        <v>-</v>
      </c>
      <c r="F12" s="218" t="str">
        <f>IF($C$9=Ja,IFERROR(SUMPRODUCT(Eingabe!E66:X66,Eingabe!E129:X129)/Eingabe!Z129,Uebersetzung!D139),"-")</f>
        <v>-</v>
      </c>
      <c r="G12" s="219" t="str">
        <f>IF(H12=Uebersetzung!D145,"-",IF(E12="-","-",IF(F12&lt;=E12,Uebersetzung!D$110,Uebersetzung!D$111)))</f>
        <v>-</v>
      </c>
      <c r="H12" s="220" t="str">
        <f>IF((COUNTIF(Eingabe!E20:X20,MinergieP)+COUNTIF(Eingabe!E20:X20,MinergiePEco))=0,Uebersetzung!D145,"")</f>
        <v>Pas de bâtiments Minergie-P(-ECO)</v>
      </c>
    </row>
    <row r="13" spans="2:17" ht="22.5" customHeight="1" x14ac:dyDescent="0.2">
      <c r="B13" s="221" t="str">
        <f>Uebersetzung!D169</f>
        <v>C1.1 Énergie d'exploitation</v>
      </c>
      <c r="C13" s="222"/>
      <c r="D13" s="57"/>
      <c r="E13" s="380"/>
      <c r="F13" s="380"/>
      <c r="G13" s="381"/>
    </row>
    <row r="14" spans="2:17" s="4" customFormat="1" ht="22.5" customHeight="1" x14ac:dyDescent="0.25">
      <c r="B14" s="223" t="str">
        <f>Uebersetzung!D99</f>
        <v>Tous les bâtiments ont-ils une production de chaleur renouvelable (sauf charge de pointe)?</v>
      </c>
      <c r="C14" s="56"/>
      <c r="D14" s="224"/>
      <c r="E14" s="225" t="str">
        <f>Uebersetzung!D97</f>
        <v>renouvelable</v>
      </c>
      <c r="F14" s="226" t="str">
        <f>IF(Eingabe!$Z$136&gt;0,Uebersetzung!D139,IF(Eingabe!Z135&gt;0,Uebersetzung!D101,Uebersetzung!D97))</f>
        <v>renouvelable</v>
      </c>
      <c r="G14" s="227" t="str">
        <f>IF(COUNTA(Eingabe!E10:X10)=0,"-",IF(F14=E14,Uebersetzung!D$110,Uebersetzung!D$111))</f>
        <v>-</v>
      </c>
      <c r="H14" s="220"/>
    </row>
    <row r="15" spans="2:17" s="4" customFormat="1" ht="22.5" customHeight="1" x14ac:dyDescent="0.2">
      <c r="B15" s="228" t="str">
        <f>Uebersetzung!D133</f>
        <v>C1.4 Utilisation de l'énergie solaire</v>
      </c>
      <c r="C15" s="57"/>
      <c r="D15" s="270"/>
      <c r="E15" s="382"/>
      <c r="F15" s="382"/>
      <c r="G15" s="381"/>
      <c r="H15" s="220"/>
    </row>
    <row r="16" spans="2:17" s="4" customFormat="1" ht="22.5" customHeight="1" x14ac:dyDescent="0.25">
      <c r="B16" s="197" t="str">
        <f>Uebersetzung!D133&amp;" "&amp;Uebersetzung!D43</f>
        <v>C1.4 Utilisation de l'énergie solaire Quartier</v>
      </c>
      <c r="C16" s="59" t="s">
        <v>9</v>
      </c>
      <c r="D16" s="198" t="s">
        <v>32</v>
      </c>
      <c r="E16" s="271">
        <f>IFERROR(Eingabe!Z44,Uebersetzung!D139)</f>
        <v>0</v>
      </c>
      <c r="F16" s="64">
        <f>IFERROR(Eingabe!Z45+Eingabe!Z60*Leistung_Solar,Uebersetzung!D139)</f>
        <v>0</v>
      </c>
      <c r="G16" s="201" t="str">
        <f>IF(E16=0,"-",IF(F16&gt;=E16,Uebersetzung!D$110,Uebersetzung!D$111))</f>
        <v>-</v>
      </c>
    </row>
    <row r="17" spans="2:13" s="4" customFormat="1" ht="22.5" customHeight="1" x14ac:dyDescent="0.2">
      <c r="B17" s="221" t="str">
        <f>Uebersetzung!D134</f>
        <v>C2.1 EGES gris</v>
      </c>
      <c r="C17" s="57"/>
      <c r="D17" s="383"/>
      <c r="E17" s="384"/>
      <c r="F17" s="384"/>
      <c r="G17" s="381"/>
      <c r="H17" s="220"/>
    </row>
    <row r="18" spans="2:13" s="4" customFormat="1" ht="22.5" customHeight="1" x14ac:dyDescent="0.25">
      <c r="B18" s="223" t="str">
        <f>Uebersetzung!D42</f>
        <v>Emissions grises de tous les nouveaux bâts. du quartier</v>
      </c>
      <c r="C18" s="229" t="str">
        <f>Uebersetzung!D166</f>
        <v>kgCO2eq/m2 SRE Nouvelle construction</v>
      </c>
      <c r="D18" s="224" t="s">
        <v>33</v>
      </c>
      <c r="E18" s="225" t="str">
        <f>IF(H18=Uebersetzung!E123,"-",IFERROR(Eingabe!Z53,Uebersetzung!D139))</f>
        <v>Entrée manquante</v>
      </c>
      <c r="F18" s="226" t="str">
        <f>IF(H18=Uebersetzung!E123,"-",IFERROR(Eingabe!Z54,Uebersetzung!D139))</f>
        <v>Entrée manquante</v>
      </c>
      <c r="G18" s="227" t="str">
        <f>IF(OR(E18=Uebersetzung!D139,H18=Uebersetzung!D123),"-",IF(F18&lt;=E18,Uebersetzung!D$110,Uebersetzung!D$111))</f>
        <v>-</v>
      </c>
      <c r="H18" s="4" t="str">
        <f>IF(AND(F22&lt;&gt;0,F23=0,Eingabe!Z80=0),Uebersetzung!E123,"")</f>
        <v/>
      </c>
    </row>
    <row r="20" spans="2:13" ht="31.5" customHeight="1" x14ac:dyDescent="0.2">
      <c r="B20" s="2" t="str">
        <f>Uebersetzung!D37</f>
        <v>Surfaces de référence énergétique du quartier</v>
      </c>
    </row>
    <row r="21" spans="2:13" ht="22.5" customHeight="1" x14ac:dyDescent="0.2">
      <c r="B21" s="230"/>
      <c r="C21" s="231"/>
      <c r="D21" s="439"/>
      <c r="E21" s="439"/>
      <c r="F21" s="195" t="str">
        <f>Uebersetzung!D41</f>
        <v>Valeur du projet</v>
      </c>
      <c r="G21" s="196"/>
      <c r="H21" s="307"/>
      <c r="I21" s="284"/>
      <c r="J21" s="284"/>
      <c r="K21" s="284"/>
      <c r="L21" s="284"/>
      <c r="M21" s="308"/>
    </row>
    <row r="22" spans="2:13" s="4" customFormat="1" ht="14.1" customHeight="1" x14ac:dyDescent="0.25">
      <c r="B22" s="275" t="str">
        <f>Uebersetzung!D17&amp;" "&amp;Uebersetzung!D118</f>
        <v>Surface de référence énergétique SRE total</v>
      </c>
      <c r="C22" s="276" t="s">
        <v>176</v>
      </c>
      <c r="D22" s="276"/>
      <c r="E22" s="277"/>
      <c r="F22" s="277">
        <f>SUM(EBFAreal)</f>
        <v>0</v>
      </c>
      <c r="G22" s="210"/>
      <c r="H22" s="309"/>
      <c r="M22" s="162"/>
    </row>
    <row r="23" spans="2:13" ht="14.1" customHeight="1" x14ac:dyDescent="0.2">
      <c r="B23" s="206" t="str">
        <f>Uebersetzung!D132</f>
        <v>Nouvelles constructions Minergie</v>
      </c>
      <c r="C23" s="198" t="s">
        <v>4</v>
      </c>
      <c r="D23" s="198"/>
      <c r="E23" s="234"/>
      <c r="F23" s="233">
        <f>SUMIF(BauvorhabenAreal,Neubau,EBFAreal)</f>
        <v>0</v>
      </c>
      <c r="G23" s="210"/>
      <c r="H23" s="310"/>
      <c r="M23" s="239"/>
    </row>
    <row r="24" spans="2:13" ht="14.1" customHeight="1" x14ac:dyDescent="0.2">
      <c r="B24" s="206" t="str">
        <f>Uebersetzung!D157</f>
        <v>Bâtiments existants</v>
      </c>
      <c r="C24" s="198"/>
      <c r="D24" s="198"/>
      <c r="E24" s="234"/>
      <c r="F24" s="233"/>
      <c r="G24" s="210"/>
      <c r="H24" s="310"/>
      <c r="M24" s="239"/>
    </row>
    <row r="25" spans="2:13" s="377" customFormat="1" ht="14.1" customHeight="1" x14ac:dyDescent="0.2">
      <c r="B25" s="379" t="str">
        <f>Uebersetzung!D146</f>
        <v>Rénovations Minergie (y compris avec modèle de rénovation minergie)</v>
      </c>
      <c r="C25" s="373" t="s">
        <v>4</v>
      </c>
      <c r="D25" s="373"/>
      <c r="E25" s="374"/>
      <c r="F25" s="233">
        <f>SUMIF(BauvorhabenAreal,Erneuerung,EBFAreal)+SUMIF(BauvorhabenAreal,Systemerneuerung,EBFAreal)</f>
        <v>0</v>
      </c>
      <c r="G25" s="375"/>
      <c r="H25" s="376"/>
      <c r="M25" s="378"/>
    </row>
    <row r="26" spans="2:13" ht="14.1" customHeight="1" x14ac:dyDescent="0.2">
      <c r="B26" s="348" t="str">
        <f>GEAK_SNBS</f>
        <v>Rénovation selon CECB A/B/C ou SNBS</v>
      </c>
      <c r="C26" s="198" t="s">
        <v>4</v>
      </c>
      <c r="D26" s="203"/>
      <c r="E26" s="346"/>
      <c r="F26" s="233">
        <f>SUMIF(BauvorhabenAreal,GEAK_SNBS,EBFAreal)</f>
        <v>0</v>
      </c>
      <c r="G26" s="347"/>
      <c r="H26" s="310"/>
      <c r="M26" s="239"/>
    </row>
    <row r="27" spans="2:13" ht="14.1" customHeight="1" x14ac:dyDescent="0.2">
      <c r="B27" s="348" t="str">
        <f>MinergieZert</f>
        <v>Pas de rénovation (certificat Minergie existant)</v>
      </c>
      <c r="C27" s="198" t="s">
        <v>4</v>
      </c>
      <c r="D27" s="203"/>
      <c r="E27" s="346"/>
      <c r="F27" s="233">
        <f>SUMIF(BauvorhabenAreal,MinergieZert,EBFAreal)</f>
        <v>0</v>
      </c>
      <c r="G27" s="347"/>
      <c r="H27" s="310"/>
      <c r="M27" s="239"/>
    </row>
    <row r="28" spans="2:13" ht="14.1" customHeight="1" x14ac:dyDescent="0.2">
      <c r="B28" s="348" t="str">
        <f>Schutzinv</f>
        <v>Pas de rénovation (bâtiment dans l'inventaire de protection)</v>
      </c>
      <c r="C28" s="198" t="s">
        <v>4</v>
      </c>
      <c r="D28" s="203"/>
      <c r="E28" s="346"/>
      <c r="F28" s="233">
        <f>SUMIF(BauvorhabenAreal,Schutzinv,EBFAreal)</f>
        <v>0</v>
      </c>
      <c r="G28" s="347"/>
      <c r="H28" s="310"/>
      <c r="M28" s="239"/>
    </row>
    <row r="29" spans="2:13" ht="14.1" customHeight="1" x14ac:dyDescent="0.2">
      <c r="B29" s="348" t="str">
        <f>WeitereAusnahmen</f>
        <v>Pas de rénovation (aucune raison)</v>
      </c>
      <c r="C29" s="198" t="s">
        <v>4</v>
      </c>
      <c r="D29" s="203"/>
      <c r="E29" s="346"/>
      <c r="F29" s="233">
        <f>SUMIF(BauvorhabenAreal,WeitereAusnahmen,EBFAreal)</f>
        <v>0</v>
      </c>
      <c r="G29" s="347"/>
      <c r="H29" s="310"/>
      <c r="M29" s="239"/>
    </row>
    <row r="30" spans="2:13" ht="14.1" customHeight="1" x14ac:dyDescent="0.2">
      <c r="B30" s="235"/>
      <c r="C30" s="236"/>
      <c r="D30" s="236"/>
      <c r="E30" s="237"/>
      <c r="F30" s="237"/>
      <c r="G30" s="238"/>
      <c r="H30" s="310"/>
      <c r="M30" s="239"/>
    </row>
    <row r="31" spans="2:13" ht="14.1" customHeight="1" x14ac:dyDescent="0.2">
      <c r="B31" s="39" t="str">
        <f>Uebersetzung!D175</f>
        <v>Surfaces de référence énergétique SRE par catégorie de bâtiment</v>
      </c>
      <c r="G31" s="239"/>
      <c r="H31" s="310"/>
      <c r="M31" s="239"/>
    </row>
    <row r="32" spans="2:13" s="4" customFormat="1" ht="14.1" customHeight="1" x14ac:dyDescent="0.25">
      <c r="B32" s="206" t="str">
        <f>Uebersetzung!D177</f>
        <v>Habitation</v>
      </c>
      <c r="C32" s="198" t="s">
        <v>4</v>
      </c>
      <c r="D32" s="198"/>
      <c r="E32" s="233"/>
      <c r="F32" s="233">
        <f>SUM(Eingabe!M142+Eingabe!M143)</f>
        <v>0</v>
      </c>
      <c r="G32" s="210"/>
      <c r="H32" s="309"/>
      <c r="M32" s="162"/>
    </row>
    <row r="33" spans="2:13" s="4" customFormat="1" ht="14.1" customHeight="1" x14ac:dyDescent="0.25">
      <c r="B33" s="206" t="str">
        <f>Eingabe!C144</f>
        <v>Administration</v>
      </c>
      <c r="C33" s="198" t="s">
        <v>4</v>
      </c>
      <c r="D33" s="198"/>
      <c r="E33" s="233"/>
      <c r="F33" s="233">
        <f>Eingabe!M144</f>
        <v>0</v>
      </c>
      <c r="G33" s="210"/>
      <c r="H33" s="309"/>
      <c r="M33" s="162"/>
    </row>
    <row r="34" spans="2:13" s="4" customFormat="1" ht="14.1" customHeight="1" x14ac:dyDescent="0.25">
      <c r="B34" s="206" t="str">
        <f>Eingabe!C145</f>
        <v>École</v>
      </c>
      <c r="C34" s="198" t="s">
        <v>4</v>
      </c>
      <c r="D34" s="198"/>
      <c r="E34" s="233"/>
      <c r="F34" s="233">
        <f>Eingabe!M145</f>
        <v>0</v>
      </c>
      <c r="G34" s="210"/>
      <c r="H34" s="309"/>
      <c r="M34" s="162"/>
    </row>
    <row r="35" spans="2:13" s="4" customFormat="1" ht="14.1" customHeight="1" x14ac:dyDescent="0.25">
      <c r="B35" s="206" t="str">
        <f>Eingabe!C146</f>
        <v>Commerce</v>
      </c>
      <c r="C35" s="198" t="s">
        <v>4</v>
      </c>
      <c r="D35" s="198"/>
      <c r="E35" s="233"/>
      <c r="F35" s="233">
        <f>Eingabe!M146</f>
        <v>0</v>
      </c>
      <c r="G35" s="210"/>
      <c r="H35" s="309"/>
      <c r="M35" s="162"/>
    </row>
    <row r="36" spans="2:13" s="4" customFormat="1" ht="14.1" customHeight="1" x14ac:dyDescent="0.25">
      <c r="B36" s="206" t="str">
        <f>Eingabe!C147</f>
        <v>Restauration</v>
      </c>
      <c r="C36" s="198" t="s">
        <v>4</v>
      </c>
      <c r="D36" s="198"/>
      <c r="E36" s="233"/>
      <c r="F36" s="233">
        <f>Eingabe!M147</f>
        <v>0</v>
      </c>
      <c r="G36" s="210"/>
      <c r="H36" s="309"/>
      <c r="M36" s="162"/>
    </row>
    <row r="37" spans="2:13" s="4" customFormat="1" ht="14.1" customHeight="1" x14ac:dyDescent="0.25">
      <c r="B37" s="206" t="str">
        <f>Eingabe!C148</f>
        <v>Lieu de rassemblement</v>
      </c>
      <c r="C37" s="198" t="s">
        <v>4</v>
      </c>
      <c r="D37" s="198"/>
      <c r="E37" s="233"/>
      <c r="F37" s="233">
        <f>Eingabe!M148</f>
        <v>0</v>
      </c>
      <c r="G37" s="210"/>
      <c r="H37" s="309"/>
      <c r="M37" s="162"/>
    </row>
    <row r="38" spans="2:13" s="4" customFormat="1" ht="14.1" customHeight="1" x14ac:dyDescent="0.25">
      <c r="B38" s="206" t="str">
        <f>Eingabe!C149</f>
        <v>Hôpital</v>
      </c>
      <c r="C38" s="198" t="s">
        <v>4</v>
      </c>
      <c r="D38" s="198"/>
      <c r="E38" s="233"/>
      <c r="F38" s="233">
        <f>Eingabe!M149</f>
        <v>0</v>
      </c>
      <c r="G38" s="210"/>
      <c r="H38" s="309"/>
      <c r="M38" s="162"/>
    </row>
    <row r="39" spans="2:13" s="4" customFormat="1" ht="14.1" customHeight="1" x14ac:dyDescent="0.25">
      <c r="B39" s="206" t="str">
        <f>Eingabe!C150</f>
        <v>Industrie</v>
      </c>
      <c r="C39" s="198" t="s">
        <v>4</v>
      </c>
      <c r="D39" s="198"/>
      <c r="E39" s="233"/>
      <c r="F39" s="233">
        <f>Eingabe!M150</f>
        <v>0</v>
      </c>
      <c r="G39" s="210"/>
      <c r="H39" s="309"/>
      <c r="M39" s="162"/>
    </row>
    <row r="40" spans="2:13" s="4" customFormat="1" ht="14.1" customHeight="1" x14ac:dyDescent="0.25">
      <c r="B40" s="206" t="str">
        <f>Eingabe!C151</f>
        <v>Dépôt</v>
      </c>
      <c r="C40" s="198" t="s">
        <v>4</v>
      </c>
      <c r="D40" s="198"/>
      <c r="E40" s="233"/>
      <c r="F40" s="233">
        <f>Eingabe!M151</f>
        <v>0</v>
      </c>
      <c r="G40" s="210"/>
      <c r="H40" s="309"/>
      <c r="M40" s="162"/>
    </row>
    <row r="41" spans="2:13" s="4" customFormat="1" ht="14.1" customHeight="1" x14ac:dyDescent="0.25">
      <c r="B41" s="206" t="str">
        <f>Eingabe!C152</f>
        <v>Installation sportive</v>
      </c>
      <c r="C41" s="198" t="s">
        <v>4</v>
      </c>
      <c r="D41" s="198"/>
      <c r="E41" s="233"/>
      <c r="F41" s="233">
        <f>Eingabe!M152</f>
        <v>0</v>
      </c>
      <c r="G41" s="210"/>
      <c r="H41" s="309"/>
      <c r="M41" s="162"/>
    </row>
    <row r="42" spans="2:13" s="4" customFormat="1" ht="14.1" customHeight="1" x14ac:dyDescent="0.25">
      <c r="B42" s="206" t="str">
        <f>Eingabe!C153</f>
        <v>Piscine couverte</v>
      </c>
      <c r="C42" s="198" t="s">
        <v>4</v>
      </c>
      <c r="D42" s="198"/>
      <c r="E42" s="233"/>
      <c r="F42" s="233">
        <f>Eingabe!M153</f>
        <v>0</v>
      </c>
      <c r="G42" s="210"/>
      <c r="H42" s="309"/>
      <c r="M42" s="162"/>
    </row>
    <row r="43" spans="2:13" ht="26.1" customHeight="1" x14ac:dyDescent="0.2">
      <c r="B43" s="281"/>
      <c r="C43" s="282"/>
      <c r="D43" s="282"/>
      <c r="E43" s="283"/>
      <c r="F43" s="443" t="str">
        <f>IF(SUM(F32:F42)=F22,"",Uebersetzung!D178)</f>
        <v/>
      </c>
      <c r="G43" s="444"/>
      <c r="H43" s="240"/>
      <c r="I43" s="242"/>
      <c r="J43" s="242"/>
      <c r="K43" s="242"/>
      <c r="L43" s="242"/>
      <c r="M43" s="243"/>
    </row>
    <row r="44" spans="2:13" x14ac:dyDescent="0.2">
      <c r="B44" s="284"/>
      <c r="C44" s="38"/>
      <c r="D44" s="38"/>
      <c r="E44" s="284"/>
      <c r="F44" s="284"/>
      <c r="G44" s="284"/>
    </row>
    <row r="45" spans="2:13" ht="26.25" customHeight="1" x14ac:dyDescent="0.2">
      <c r="B45" s="2" t="str">
        <f>Uebersetzung!D149</f>
        <v>Signature</v>
      </c>
    </row>
    <row r="46" spans="2:13" ht="25.5" customHeight="1" x14ac:dyDescent="0.2">
      <c r="B46" s="434" t="str">
        <f>Uebersetzung!D148</f>
        <v>Le maître d'ouvrage / le management du quartier confirme que les informations fournies dans le présent outil d'aide sont correctes.</v>
      </c>
      <c r="C46" s="435"/>
      <c r="D46" s="435"/>
      <c r="E46" s="435"/>
      <c r="F46" s="435"/>
      <c r="G46" s="436"/>
    </row>
    <row r="47" spans="2:13" ht="26.25" customHeight="1" x14ac:dyDescent="0.2">
      <c r="B47" s="232" t="str">
        <f>Uebersetzung!D152</f>
        <v>Nom et prénom</v>
      </c>
      <c r="C47" s="433"/>
      <c r="D47" s="433"/>
      <c r="E47" s="433"/>
      <c r="F47" s="433"/>
      <c r="G47" s="239"/>
    </row>
    <row r="48" spans="2:13" ht="26.25" customHeight="1" x14ac:dyDescent="0.2">
      <c r="B48" s="232" t="str">
        <f>Uebersetzung!D150</f>
        <v>Lieu</v>
      </c>
      <c r="C48" s="433"/>
      <c r="D48" s="433"/>
      <c r="E48" s="433"/>
      <c r="F48" s="433"/>
      <c r="G48" s="239"/>
    </row>
    <row r="49" spans="2:7" ht="26.25" customHeight="1" x14ac:dyDescent="0.2">
      <c r="B49" s="232" t="str">
        <f>Uebersetzung!D151</f>
        <v>Date</v>
      </c>
      <c r="C49" s="442"/>
      <c r="D49" s="433"/>
      <c r="E49" s="433"/>
      <c r="F49" s="433"/>
      <c r="G49" s="239"/>
    </row>
    <row r="50" spans="2:7" ht="26.25" customHeight="1" x14ac:dyDescent="0.2">
      <c r="B50" s="232" t="str">
        <f>Uebersetzung!D149</f>
        <v>Signature</v>
      </c>
      <c r="C50" s="433"/>
      <c r="D50" s="433"/>
      <c r="E50" s="433"/>
      <c r="F50" s="433"/>
      <c r="G50" s="239"/>
    </row>
    <row r="51" spans="2:7" x14ac:dyDescent="0.2">
      <c r="B51" s="240"/>
      <c r="C51" s="241"/>
      <c r="D51" s="241"/>
      <c r="E51" s="242"/>
      <c r="F51" s="242"/>
      <c r="G51" s="243"/>
    </row>
    <row r="53" spans="2:7" x14ac:dyDescent="0.2">
      <c r="C53" s="1"/>
      <c r="E53" s="3"/>
    </row>
  </sheetData>
  <sheetProtection algorithmName="SHA-512" hashValue="sjlTqgVTc/ihBlVbQw5WL8dKIgxO16GwL2iAR4L/9WqXKW/XD73DtNj+N5oJq7ZY/mhi83Wjtnj+J4pvdMajog==" saltValue="aVIBrAuJwk6tnO4YHI/I9A==" spinCount="100000" sheet="1" formatColumns="0"/>
  <mergeCells count="11">
    <mergeCell ref="E2:F2"/>
    <mergeCell ref="C50:F50"/>
    <mergeCell ref="B46:G46"/>
    <mergeCell ref="D5:E5"/>
    <mergeCell ref="D21:E21"/>
    <mergeCell ref="B7:C7"/>
    <mergeCell ref="C47:F47"/>
    <mergeCell ref="C48:F48"/>
    <mergeCell ref="C49:F49"/>
    <mergeCell ref="F43:G43"/>
    <mergeCell ref="G7:G8"/>
  </mergeCells>
  <conditionalFormatting sqref="B10:H12">
    <cfRule type="expression" dxfId="9" priority="2">
      <formula>IF($C$9&lt;&gt;Ja,1,0)</formula>
    </cfRule>
  </conditionalFormatting>
  <conditionalFormatting sqref="C17 C9">
    <cfRule type="cellIs" dxfId="7" priority="7" operator="equal">
      <formula>0</formula>
    </cfRule>
  </conditionalFormatting>
  <pageMargins left="0.70866141732283472" right="0.70866141732283472" top="0.78740157480314965" bottom="0.78740157480314965" header="0.31496062992125984" footer="0.31496062992125984"/>
  <pageSetup paperSize="9" scale="71" orientation="portrait" r:id="rId1"/>
  <ignoredErrors>
    <ignoredError sqref="G7" formulaRange="1"/>
  </ignoredErrors>
  <drawing r:id="rId2"/>
  <extLst>
    <ext xmlns:x14="http://schemas.microsoft.com/office/spreadsheetml/2009/9/main" uri="{78C0D931-6437-407d-A8EE-F0AAD7539E65}">
      <x14:conditionalFormattings>
        <x14:conditionalFormatting xmlns:xm="http://schemas.microsoft.com/office/excel/2006/main">
          <x14:cfRule type="expression" priority="4" id="{4EB08E91-001B-4F40-A465-693BF0E95BD2}">
            <xm:f>IF($H$12=Uebersetzung!$D$145,1,0)</xm:f>
            <x14:dxf>
              <font>
                <color theme="2"/>
              </font>
            </x14:dxf>
          </x14:cfRule>
          <xm:sqref>B12:H12</xm:sqref>
        </x14:conditionalFormatting>
        <x14:conditionalFormatting xmlns:xm="http://schemas.microsoft.com/office/excel/2006/main">
          <x14:cfRule type="expression" priority="5" id="{8A57EFF2-8014-4E2A-82B1-3CA53905821C}">
            <xm:f>IF(#REF!=Uebersetzung!$D$144,1,0)</xm:f>
            <x14:dxf>
              <font>
                <color theme="2"/>
              </font>
            </x14:dxf>
          </x14:cfRule>
          <xm:sqref>C17:H17</xm:sqref>
        </x14:conditionalFormatting>
        <x14:conditionalFormatting xmlns:xm="http://schemas.microsoft.com/office/excel/2006/main">
          <x14:cfRule type="cellIs" priority="11" operator="equal" id="{E604C8AF-84B9-4A9E-A690-6E72C11015F8}">
            <xm:f>Uebersetzung!$D$110</xm:f>
            <x14:dxf>
              <font>
                <color rgb="FF00B050"/>
              </font>
              <fill>
                <patternFill>
                  <bgColor rgb="FF8CF866"/>
                </patternFill>
              </fill>
            </x14:dxf>
          </x14:cfRule>
          <xm:sqref>G7:G8 G10:G12 G14 G16 G18</xm:sqref>
        </x14:conditionalFormatting>
        <x14:conditionalFormatting xmlns:xm="http://schemas.microsoft.com/office/excel/2006/main">
          <x14:cfRule type="cellIs" priority="6" operator="equal" id="{A8538521-EBCF-43A9-9527-784CA039C394}">
            <xm:f>Uebersetzung!$D$111</xm:f>
            <x14:dxf>
              <font>
                <b/>
                <i val="0"/>
                <color rgb="FFFF0000"/>
              </font>
              <fill>
                <patternFill>
                  <bgColor rgb="FFFFB7B7"/>
                </patternFill>
              </fill>
            </x14:dxf>
          </x14:cfRule>
          <xm:sqref>G10:G12 G7:G8 G14 G16 G18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503CB-2E89-41F6-963C-C28D8DDE4596}">
  <dimension ref="A1:H91"/>
  <sheetViews>
    <sheetView showGridLines="0" zoomScale="85" zoomScaleNormal="85" workbookViewId="0">
      <selection activeCell="E13" sqref="E13"/>
    </sheetView>
  </sheetViews>
  <sheetFormatPr baseColWidth="10" defaultColWidth="10.85546875" defaultRowHeight="12.75" x14ac:dyDescent="0.2"/>
  <cols>
    <col min="1" max="1" width="25.85546875" style="296" customWidth="1"/>
    <col min="2" max="2" width="43.85546875" style="46" customWidth="1"/>
    <col min="3" max="3" width="19.85546875" style="46" bestFit="1" customWidth="1"/>
    <col min="4" max="4" width="20.42578125" style="46" customWidth="1"/>
    <col min="5" max="5" width="20" style="46" customWidth="1"/>
    <col min="6" max="16384" width="10.85546875" style="46"/>
  </cols>
  <sheetData>
    <row r="1" spans="1:8" ht="38.25" x14ac:dyDescent="0.2">
      <c r="A1" s="288" t="str">
        <f>Uebersetzung!E141</f>
        <v>Liste</v>
      </c>
      <c r="B1" s="289"/>
      <c r="C1" s="292" t="str">
        <f>Uebersetzung!D119&amp;" [kgCO2/m2]"</f>
        <v>Limite de base EGES SRE [kgCO2/m2]</v>
      </c>
      <c r="D1" s="292" t="str">
        <f>Uebersetzung!D120&amp;" [kgCO2/m2]"</f>
        <v>Limite de base EGES SP-SRE [kgCO2/m2]</v>
      </c>
      <c r="E1" s="293" t="str">
        <f>Uebersetzung!D35&amp;" [kgCO2/m2]"</f>
        <v>Péjoration "Démolition" [kgCO2/m2]</v>
      </c>
    </row>
    <row r="2" spans="1:8" s="45" customFormat="1" x14ac:dyDescent="0.2">
      <c r="A2" s="288" t="str">
        <f>Uebersetzung!D16</f>
        <v>Catégorie de bâtiment</v>
      </c>
      <c r="B2" s="289" t="str">
        <f>Uebersetzung!D44</f>
        <v>Habitat collectif</v>
      </c>
      <c r="C2" s="294">
        <v>12.4</v>
      </c>
      <c r="D2" s="294">
        <v>5.5</v>
      </c>
      <c r="E2" s="295">
        <f>(C2*80%+D2*20%)/80%</f>
        <v>13.775</v>
      </c>
    </row>
    <row r="3" spans="1:8" x14ac:dyDescent="0.2">
      <c r="B3" s="289" t="str">
        <f>Uebersetzung!D45</f>
        <v>Habitat individuel</v>
      </c>
      <c r="C3" s="294">
        <v>13.6</v>
      </c>
      <c r="D3" s="294">
        <v>5.5</v>
      </c>
      <c r="E3" s="295">
        <f t="shared" ref="E3:E13" si="0">(C3*80%+D3*20%)/80%</f>
        <v>14.975</v>
      </c>
      <c r="F3" s="45"/>
      <c r="G3" s="45"/>
      <c r="H3" s="45"/>
    </row>
    <row r="4" spans="1:8" x14ac:dyDescent="0.2">
      <c r="B4" s="289" t="str">
        <f>Uebersetzung!D46</f>
        <v>Administration</v>
      </c>
      <c r="C4" s="294">
        <v>13.6</v>
      </c>
      <c r="D4" s="294">
        <v>5.5</v>
      </c>
      <c r="E4" s="295">
        <f t="shared" si="0"/>
        <v>14.975</v>
      </c>
      <c r="F4" s="45"/>
      <c r="G4" s="45"/>
      <c r="H4" s="45"/>
    </row>
    <row r="5" spans="1:8" x14ac:dyDescent="0.2">
      <c r="B5" s="289" t="str">
        <f>Uebersetzung!D47</f>
        <v>École</v>
      </c>
      <c r="C5" s="294">
        <v>12.4</v>
      </c>
      <c r="D5" s="294">
        <v>5.5</v>
      </c>
      <c r="E5" s="295">
        <f t="shared" si="0"/>
        <v>13.775</v>
      </c>
      <c r="F5" s="45"/>
      <c r="G5" s="45"/>
      <c r="H5" s="45"/>
    </row>
    <row r="6" spans="1:8" x14ac:dyDescent="0.2">
      <c r="B6" s="289" t="str">
        <f>Uebersetzung!D48</f>
        <v>Commerce</v>
      </c>
      <c r="C6" s="294">
        <v>19.899999999999999</v>
      </c>
      <c r="D6" s="294">
        <v>5.5</v>
      </c>
      <c r="E6" s="295">
        <f t="shared" si="0"/>
        <v>21.274999999999999</v>
      </c>
      <c r="F6" s="45"/>
      <c r="G6" s="45"/>
      <c r="H6" s="45"/>
    </row>
    <row r="7" spans="1:8" x14ac:dyDescent="0.2">
      <c r="B7" s="289" t="str">
        <f>Uebersetzung!D49</f>
        <v>Restauration</v>
      </c>
      <c r="C7" s="294">
        <v>16.100000000000001</v>
      </c>
      <c r="D7" s="294">
        <v>5.5</v>
      </c>
      <c r="E7" s="295">
        <f t="shared" si="0"/>
        <v>17.475000000000001</v>
      </c>
      <c r="F7" s="45"/>
      <c r="G7" s="45"/>
      <c r="H7" s="45"/>
    </row>
    <row r="8" spans="1:8" x14ac:dyDescent="0.2">
      <c r="B8" s="289" t="str">
        <f>Uebersetzung!D50</f>
        <v>Lieu de rassemblement</v>
      </c>
      <c r="C8" s="294">
        <v>17.399999999999999</v>
      </c>
      <c r="D8" s="294">
        <v>5.5</v>
      </c>
      <c r="E8" s="295">
        <f t="shared" si="0"/>
        <v>18.774999999999999</v>
      </c>
      <c r="F8" s="45"/>
      <c r="G8" s="45"/>
      <c r="H8" s="45"/>
    </row>
    <row r="9" spans="1:8" x14ac:dyDescent="0.2">
      <c r="B9" s="289" t="str">
        <f>Uebersetzung!D51</f>
        <v>Hôpital</v>
      </c>
      <c r="C9" s="294">
        <v>19.899999999999999</v>
      </c>
      <c r="D9" s="294">
        <v>5.5</v>
      </c>
      <c r="E9" s="295">
        <f t="shared" si="0"/>
        <v>21.274999999999999</v>
      </c>
      <c r="F9" s="45"/>
      <c r="G9" s="45"/>
      <c r="H9" s="45"/>
    </row>
    <row r="10" spans="1:8" x14ac:dyDescent="0.2">
      <c r="B10" s="289" t="str">
        <f>Uebersetzung!D52</f>
        <v>Industrie</v>
      </c>
      <c r="C10" s="294">
        <v>17.399999999999999</v>
      </c>
      <c r="D10" s="294">
        <v>5.5</v>
      </c>
      <c r="E10" s="295">
        <f t="shared" si="0"/>
        <v>18.774999999999999</v>
      </c>
      <c r="F10" s="45"/>
      <c r="G10" s="45"/>
      <c r="H10" s="45"/>
    </row>
    <row r="11" spans="1:8" x14ac:dyDescent="0.2">
      <c r="B11" s="289" t="str">
        <f>Uebersetzung!D53</f>
        <v>Dépôt</v>
      </c>
      <c r="C11" s="294">
        <v>17.399999999999999</v>
      </c>
      <c r="D11" s="294">
        <v>5.5</v>
      </c>
      <c r="E11" s="295">
        <f t="shared" si="0"/>
        <v>18.774999999999999</v>
      </c>
      <c r="F11" s="45"/>
      <c r="G11" s="45"/>
      <c r="H11" s="45"/>
    </row>
    <row r="12" spans="1:8" x14ac:dyDescent="0.2">
      <c r="B12" s="289" t="str">
        <f>Uebersetzung!D54</f>
        <v>Installation sportive</v>
      </c>
      <c r="C12" s="294">
        <v>17.399999999999999</v>
      </c>
      <c r="D12" s="294">
        <v>5.5</v>
      </c>
      <c r="E12" s="295">
        <f t="shared" si="0"/>
        <v>18.774999999999999</v>
      </c>
      <c r="F12" s="45"/>
      <c r="G12" s="45"/>
      <c r="H12" s="45"/>
    </row>
    <row r="13" spans="1:8" x14ac:dyDescent="0.2">
      <c r="B13" s="289" t="str">
        <f>Uebersetzung!D55</f>
        <v>Piscine couverte</v>
      </c>
      <c r="C13" s="294">
        <v>17.399999999999999</v>
      </c>
      <c r="D13" s="294">
        <v>5.5</v>
      </c>
      <c r="E13" s="295">
        <f t="shared" si="0"/>
        <v>18.774999999999999</v>
      </c>
      <c r="F13" s="45"/>
      <c r="G13" s="45"/>
      <c r="H13" s="45"/>
    </row>
    <row r="14" spans="1:8" x14ac:dyDescent="0.2">
      <c r="F14" s="45"/>
    </row>
    <row r="16" spans="1:8" x14ac:dyDescent="0.2">
      <c r="A16" s="288" t="str">
        <f>Uebersetzung!E28</f>
        <v>Standard</v>
      </c>
      <c r="B16" s="289" t="str">
        <f>Uebersetzung!D57</f>
        <v>Minergie</v>
      </c>
    </row>
    <row r="17" spans="1:2" x14ac:dyDescent="0.2">
      <c r="B17" s="289" t="str">
        <f>Uebersetzung!D58</f>
        <v>Minergie-A</v>
      </c>
    </row>
    <row r="18" spans="1:2" x14ac:dyDescent="0.2">
      <c r="B18" s="289" t="str">
        <f>Uebersetzung!D59</f>
        <v>Minergie-P</v>
      </c>
    </row>
    <row r="19" spans="1:2" x14ac:dyDescent="0.2">
      <c r="B19" s="289" t="str">
        <f>Uebersetzung!D60</f>
        <v>Minergie-ECO</v>
      </c>
    </row>
    <row r="20" spans="1:2" x14ac:dyDescent="0.2">
      <c r="B20" s="289" t="str">
        <f>Uebersetzung!D61</f>
        <v>Minergie-A-ECO</v>
      </c>
    </row>
    <row r="21" spans="1:2" x14ac:dyDescent="0.2">
      <c r="B21" s="289" t="str">
        <f>Uebersetzung!D62</f>
        <v>Minergie-P-ECO</v>
      </c>
    </row>
    <row r="22" spans="1:2" x14ac:dyDescent="0.2">
      <c r="B22" s="289" t="str">
        <f>Uebersetzung!D63</f>
        <v>Encore ouvert</v>
      </c>
    </row>
    <row r="24" spans="1:2" x14ac:dyDescent="0.2">
      <c r="A24" s="288"/>
    </row>
    <row r="29" spans="1:2" ht="25.5" x14ac:dyDescent="0.2">
      <c r="A29" s="288" t="str">
        <f>Uebersetzung!D18</f>
        <v>Type de rénovation de l'enveloppe du bâtiment</v>
      </c>
      <c r="B29" s="289" t="str">
        <f>Uebersetzung!D197</f>
        <v>Rénovation Minergie</v>
      </c>
    </row>
    <row r="30" spans="1:2" x14ac:dyDescent="0.2">
      <c r="A30" s="288"/>
      <c r="B30" s="289" t="str">
        <f>Uebersetzung!D143</f>
        <v>Modèle de rénovation Minergie</v>
      </c>
    </row>
    <row r="31" spans="1:2" x14ac:dyDescent="0.2">
      <c r="A31" s="288"/>
      <c r="B31" s="351" t="str">
        <f>Uebersetzung!D70</f>
        <v>Rénovation selon CECB A/B/C ou SNBS</v>
      </c>
    </row>
    <row r="32" spans="1:2" x14ac:dyDescent="0.2">
      <c r="A32" s="288"/>
      <c r="B32" s="289" t="str">
        <f>Uebersetzung!D69</f>
        <v>Pas de rénovation (certificat Minergie existant)</v>
      </c>
    </row>
    <row r="33" spans="1:3" s="352" customFormat="1" x14ac:dyDescent="0.2">
      <c r="A33" s="350"/>
      <c r="B33" s="289" t="str">
        <f>Uebersetzung!D68</f>
        <v>Pas de rénovation (bâtiment dans l'inventaire de protection)</v>
      </c>
    </row>
    <row r="34" spans="1:3" x14ac:dyDescent="0.2">
      <c r="B34" s="289" t="str">
        <f>Uebersetzung!D128</f>
        <v>Pas de rénovation (aucune raison)</v>
      </c>
    </row>
    <row r="38" spans="1:3" x14ac:dyDescent="0.2">
      <c r="B38" s="289"/>
      <c r="C38" s="291" t="str">
        <f>Uebersetzung!D98</f>
        <v>Autorisé dans le quartier Minergie ?</v>
      </c>
    </row>
    <row r="39" spans="1:3" x14ac:dyDescent="0.2">
      <c r="A39" s="288" t="str">
        <f>Uebersetzung!D76</f>
        <v>Production de chaleur</v>
      </c>
      <c r="B39" s="289" t="str">
        <f>Uebersetzung!D77</f>
        <v>PAC air fourni / air évacué</v>
      </c>
      <c r="C39" s="289">
        <v>1</v>
      </c>
    </row>
    <row r="40" spans="1:3" x14ac:dyDescent="0.2">
      <c r="B40" s="289" t="str">
        <f>Uebersetzung!D78</f>
        <v>Rejets de chaleur provenant d'installations de production de froid (industriel ou pour la climatisation)</v>
      </c>
      <c r="C40" s="289">
        <v>1</v>
      </c>
    </row>
    <row r="41" spans="1:3" x14ac:dyDescent="0.2">
      <c r="B41" s="289" t="str">
        <f>Uebersetzung!D79</f>
        <v>PAC sur eaux usées</v>
      </c>
      <c r="C41" s="289">
        <v>1</v>
      </c>
    </row>
    <row r="42" spans="1:3" x14ac:dyDescent="0.2">
      <c r="B42" s="289" t="str">
        <f>Uebersetzung!D80</f>
        <v>Chauffe-eau électrique</v>
      </c>
      <c r="C42" s="289">
        <v>1</v>
      </c>
    </row>
    <row r="43" spans="1:3" x14ac:dyDescent="0.2">
      <c r="B43" s="289" t="str">
        <f>Uebersetzung!D81</f>
        <v>PAC à registre terrestre</v>
      </c>
      <c r="C43" s="289">
        <v>1</v>
      </c>
    </row>
    <row r="44" spans="1:3" x14ac:dyDescent="0.2">
      <c r="B44" s="289" t="str">
        <f>Uebersetzung!D82</f>
        <v>PAC à sondes géothermiques</v>
      </c>
      <c r="C44" s="289">
        <v>1</v>
      </c>
    </row>
    <row r="45" spans="1:3" x14ac:dyDescent="0.2">
      <c r="B45" s="289" t="str">
        <f>Uebersetzung!D83</f>
        <v>Chauffage à distance (&lt;=25% non renouvelable)</v>
      </c>
      <c r="C45" s="289">
        <v>1</v>
      </c>
    </row>
    <row r="46" spans="1:3" x14ac:dyDescent="0.2">
      <c r="B46" s="289" t="str">
        <f>Uebersetzung!D84</f>
        <v>Chauffage à distance (&lt;=50% non renouvelable)</v>
      </c>
      <c r="C46" s="289">
        <v>0</v>
      </c>
    </row>
    <row r="47" spans="1:3" x14ac:dyDescent="0.2">
      <c r="B47" s="289" t="str">
        <f>Uebersetzung!D85</f>
        <v>Chauffage à distance (&lt;=75% non renouvelable)</v>
      </c>
      <c r="C47" s="289">
        <v>0</v>
      </c>
    </row>
    <row r="48" spans="1:3" x14ac:dyDescent="0.2">
      <c r="B48" s="289" t="str">
        <f>Uebersetzung!D86</f>
        <v>Chauffage à distance (&gt;75% non renouvelable)</v>
      </c>
      <c r="C48" s="289">
        <v>0</v>
      </c>
    </row>
    <row r="49" spans="1:3" x14ac:dyDescent="0.2">
      <c r="B49" s="289" t="str">
        <f>Uebersetzung!D87</f>
        <v>Chauffage au gaz / Chauffe-eau à gaz</v>
      </c>
      <c r="C49" s="289">
        <v>0</v>
      </c>
    </row>
    <row r="50" spans="1:3" x14ac:dyDescent="0.2">
      <c r="B50" s="289" t="str">
        <f>Uebersetzung!D88</f>
        <v>Pompe à chaleur à gaz</v>
      </c>
      <c r="C50" s="289">
        <v>0</v>
      </c>
    </row>
    <row r="51" spans="1:3" x14ac:dyDescent="0.2">
      <c r="B51" s="289" t="str">
        <f>Uebersetzung!D89</f>
        <v>PAC eau-eau</v>
      </c>
      <c r="C51" s="289">
        <v>1</v>
      </c>
    </row>
    <row r="52" spans="1:3" x14ac:dyDescent="0.2">
      <c r="B52" s="289" t="str">
        <f>Uebersetzung!D90</f>
        <v>Chauffage au bois</v>
      </c>
      <c r="C52" s="289">
        <v>1</v>
      </c>
    </row>
    <row r="53" spans="1:3" x14ac:dyDescent="0.2">
      <c r="B53" s="289" t="str">
        <f>Uebersetzung!D91</f>
        <v>PAC compacte</v>
      </c>
      <c r="C53" s="289">
        <v>1</v>
      </c>
    </row>
    <row r="54" spans="1:3" x14ac:dyDescent="0.2">
      <c r="B54" s="289" t="str">
        <f>Uebersetzung!D92</f>
        <v>PAC air-air</v>
      </c>
      <c r="C54" s="289">
        <v>1</v>
      </c>
    </row>
    <row r="55" spans="1:3" x14ac:dyDescent="0.2">
      <c r="B55" s="289" t="str">
        <f>Uebersetzung!D93</f>
        <v>Chauffage au mazout</v>
      </c>
      <c r="C55" s="289">
        <v>0</v>
      </c>
    </row>
    <row r="56" spans="1:3" x14ac:dyDescent="0.2">
      <c r="B56" s="289" t="str">
        <f>Uebersetzung!D94</f>
        <v>Chauffage aux pellets</v>
      </c>
      <c r="C56" s="289">
        <v>1</v>
      </c>
    </row>
    <row r="57" spans="1:3" x14ac:dyDescent="0.2">
      <c r="B57" s="289" t="str">
        <f>Uebersetzung!D95</f>
        <v>Énergie solaire thermique</v>
      </c>
      <c r="C57" s="289">
        <v>1</v>
      </c>
    </row>
    <row r="58" spans="1:3" x14ac:dyDescent="0.2">
      <c r="B58" s="289" t="str">
        <f>Uebersetzung!D96</f>
        <v>CCF</v>
      </c>
      <c r="C58" s="289">
        <v>1</v>
      </c>
    </row>
    <row r="61" spans="1:3" x14ac:dyDescent="0.2">
      <c r="B61" s="289"/>
      <c r="C61" s="291" t="str">
        <f>Uebersetzung!D27&amp;", "&amp;Uebersetzung!E40&amp;" [kWp/m2]"</f>
        <v>Autoproduction d'électricité, Anforderung [kWp/m2]</v>
      </c>
    </row>
    <row r="62" spans="1:3" ht="27.75" customHeight="1" x14ac:dyDescent="0.2">
      <c r="A62" s="288" t="str">
        <f>Uebersetzung!D199</f>
        <v>Nouvelle construction ou bâtiment existant</v>
      </c>
      <c r="B62" s="289" t="str">
        <f>Uebersetzung!D109</f>
        <v>Nouvelle construction</v>
      </c>
      <c r="C62" s="289">
        <v>0.02</v>
      </c>
    </row>
    <row r="63" spans="1:3" x14ac:dyDescent="0.2">
      <c r="B63" s="289" t="str">
        <f>Uebersetzung!D200</f>
        <v>Bâtiment existant</v>
      </c>
      <c r="C63" s="289">
        <v>0.01</v>
      </c>
    </row>
    <row r="67" spans="1:5" x14ac:dyDescent="0.2">
      <c r="B67" s="289"/>
      <c r="C67" s="291" t="str">
        <f>Uebersetzung!D114</f>
        <v>Suppléments et déductions bâtiment entier</v>
      </c>
      <c r="D67" s="289"/>
      <c r="E67" s="291" t="str">
        <f>Uebersetzung!D184</f>
        <v>Prise en compte de l'installation PV (20% de consommation propre + 40% de l'injection)</v>
      </c>
    </row>
    <row r="68" spans="1:5" ht="25.5" x14ac:dyDescent="0.2">
      <c r="A68" s="288" t="str">
        <f>Uebersetzung!D114</f>
        <v>Suppléments et déductions bâtiment entier</v>
      </c>
      <c r="B68" s="289" t="str">
        <f>Uebersetzung!D115</f>
        <v>Installation PV</v>
      </c>
      <c r="C68" s="290">
        <f>7.1/Leistung_Solar</f>
        <v>35.499999999999993</v>
      </c>
      <c r="D68" s="289" t="s">
        <v>123</v>
      </c>
      <c r="E68" s="297">
        <f>20%+80%*40%</f>
        <v>0.52</v>
      </c>
    </row>
    <row r="69" spans="1:5" x14ac:dyDescent="0.2">
      <c r="B69" s="289" t="str">
        <f>Uebersetzung!D116</f>
        <v>Capteurs solaires thermiques</v>
      </c>
      <c r="C69" s="289">
        <v>5.6</v>
      </c>
      <c r="D69" s="289" t="s">
        <v>125</v>
      </c>
    </row>
    <row r="70" spans="1:5" x14ac:dyDescent="0.2">
      <c r="B70" s="291" t="str">
        <f>Uebersetzung!D117</f>
        <v>Sonde géothermique</v>
      </c>
      <c r="C70" s="289"/>
      <c r="D70" s="289"/>
    </row>
    <row r="71" spans="1:5" x14ac:dyDescent="0.2">
      <c r="B71" s="289" t="str">
        <f>B16</f>
        <v>Minergie</v>
      </c>
      <c r="C71" s="289">
        <v>0.3</v>
      </c>
      <c r="D71" s="289" t="s">
        <v>124</v>
      </c>
    </row>
    <row r="72" spans="1:5" x14ac:dyDescent="0.2">
      <c r="B72" s="289" t="str">
        <f t="shared" ref="B72:B77" si="1">B17</f>
        <v>Minergie-A</v>
      </c>
      <c r="C72" s="289">
        <v>0.3</v>
      </c>
      <c r="D72" s="289" t="s">
        <v>124</v>
      </c>
    </row>
    <row r="73" spans="1:5" x14ac:dyDescent="0.2">
      <c r="B73" s="289" t="str">
        <f t="shared" si="1"/>
        <v>Minergie-P</v>
      </c>
      <c r="C73" s="289">
        <v>0.3</v>
      </c>
      <c r="D73" s="289" t="s">
        <v>124</v>
      </c>
    </row>
    <row r="74" spans="1:5" x14ac:dyDescent="0.2">
      <c r="B74" s="289" t="str">
        <f t="shared" si="1"/>
        <v>Minergie-ECO</v>
      </c>
      <c r="C74" s="289">
        <v>0.3</v>
      </c>
      <c r="D74" s="289" t="s">
        <v>124</v>
      </c>
    </row>
    <row r="75" spans="1:5" x14ac:dyDescent="0.2">
      <c r="B75" s="289" t="str">
        <f t="shared" si="1"/>
        <v>Minergie-A-ECO</v>
      </c>
      <c r="C75" s="289">
        <v>0.3</v>
      </c>
      <c r="D75" s="289" t="s">
        <v>124</v>
      </c>
    </row>
    <row r="76" spans="1:5" x14ac:dyDescent="0.2">
      <c r="B76" s="289" t="str">
        <f t="shared" si="1"/>
        <v>Minergie-P-ECO</v>
      </c>
      <c r="C76" s="289">
        <v>0.3</v>
      </c>
      <c r="D76" s="289" t="s">
        <v>124</v>
      </c>
    </row>
    <row r="77" spans="1:5" x14ac:dyDescent="0.2">
      <c r="B77" s="289" t="str">
        <f t="shared" si="1"/>
        <v>Encore ouvert</v>
      </c>
      <c r="C77" s="289">
        <v>0.3</v>
      </c>
      <c r="D77" s="289" t="s">
        <v>124</v>
      </c>
    </row>
    <row r="79" spans="1:5" x14ac:dyDescent="0.2">
      <c r="A79" s="288"/>
      <c r="B79" s="289" t="str">
        <f>Uebersetzung!D110</f>
        <v>Oui</v>
      </c>
    </row>
    <row r="80" spans="1:5" x14ac:dyDescent="0.2">
      <c r="B80" s="289" t="str">
        <f>Uebersetzung!D111</f>
        <v>Non</v>
      </c>
    </row>
    <row r="82" spans="1:3" ht="25.5" x14ac:dyDescent="0.2">
      <c r="A82" s="288" t="str">
        <f>Uebersetzung!D129</f>
        <v>Efficacité solaire thermique / PV</v>
      </c>
      <c r="B82" s="289">
        <v>0.2</v>
      </c>
      <c r="C82" s="289" t="s">
        <v>341</v>
      </c>
    </row>
    <row r="85" spans="1:3" ht="63.75" x14ac:dyDescent="0.2">
      <c r="A85" s="288" t="str">
        <f>Uebersetzung!D191</f>
        <v>Bâtiments dans l'inventaire de protection : les dispositions légales communales autorisent-t-elles les installations PV ?</v>
      </c>
      <c r="B85" s="289" t="str">
        <f>Uebersetzung!D192</f>
        <v>Installation PV autorisée</v>
      </c>
    </row>
    <row r="86" spans="1:3" x14ac:dyDescent="0.2">
      <c r="B86" s="289" t="str">
        <f>Uebersetzung!D193</f>
        <v>Installation PV non autorisée</v>
      </c>
    </row>
    <row r="91" spans="1:3" x14ac:dyDescent="0.2">
      <c r="A91" s="288" t="str">
        <f>Uebersetzung!D141&amp;" "&amp;Uebersetzung!D194</f>
        <v>Liste vide</v>
      </c>
      <c r="B91" s="289"/>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2016B-7B15-40AF-A24B-E08BF02834F0}">
  <dimension ref="A1:D31"/>
  <sheetViews>
    <sheetView showGridLines="0" workbookViewId="0">
      <selection activeCell="D5" sqref="D5"/>
    </sheetView>
  </sheetViews>
  <sheetFormatPr baseColWidth="10" defaultRowHeight="15" x14ac:dyDescent="0.25"/>
  <cols>
    <col min="1" max="1" width="8.5703125" customWidth="1"/>
    <col min="2" max="2" width="22.7109375" customWidth="1"/>
    <col min="3" max="3" width="21.140625" customWidth="1"/>
    <col min="4" max="4" width="63.5703125" customWidth="1"/>
  </cols>
  <sheetData>
    <row r="1" spans="1:4" x14ac:dyDescent="0.25">
      <c r="A1" s="409" t="s">
        <v>595</v>
      </c>
    </row>
    <row r="3" spans="1:4" x14ac:dyDescent="0.25">
      <c r="A3" s="410" t="s">
        <v>46</v>
      </c>
      <c r="B3" s="410" t="s">
        <v>597</v>
      </c>
      <c r="C3" s="410" t="s">
        <v>598</v>
      </c>
      <c r="D3" s="410" t="s">
        <v>596</v>
      </c>
    </row>
    <row r="4" spans="1:4" ht="30" x14ac:dyDescent="0.25">
      <c r="A4" s="411">
        <v>2025.1</v>
      </c>
      <c r="B4" s="411" t="s">
        <v>599</v>
      </c>
      <c r="C4" s="411" t="s">
        <v>600</v>
      </c>
      <c r="D4" s="412" t="s">
        <v>601</v>
      </c>
    </row>
    <row r="5" spans="1:4" ht="45" x14ac:dyDescent="0.25">
      <c r="A5" s="411">
        <v>2025.1</v>
      </c>
      <c r="B5" s="411" t="s">
        <v>599</v>
      </c>
      <c r="C5" s="411" t="s">
        <v>602</v>
      </c>
      <c r="D5" s="412" t="s">
        <v>603</v>
      </c>
    </row>
    <row r="6" spans="1:4" x14ac:dyDescent="0.25">
      <c r="A6" s="411"/>
      <c r="B6" s="411"/>
      <c r="C6" s="411"/>
      <c r="D6" s="412"/>
    </row>
    <row r="7" spans="1:4" x14ac:dyDescent="0.25">
      <c r="A7" s="411"/>
      <c r="B7" s="411"/>
      <c r="C7" s="411"/>
      <c r="D7" s="412"/>
    </row>
    <row r="8" spans="1:4" x14ac:dyDescent="0.25">
      <c r="A8" s="411"/>
      <c r="B8" s="411"/>
      <c r="C8" s="411"/>
      <c r="D8" s="412"/>
    </row>
    <row r="9" spans="1:4" x14ac:dyDescent="0.25">
      <c r="A9" s="411"/>
      <c r="B9" s="411"/>
      <c r="C9" s="411"/>
      <c r="D9" s="412"/>
    </row>
    <row r="10" spans="1:4" x14ac:dyDescent="0.25">
      <c r="A10" s="411"/>
      <c r="B10" s="411"/>
      <c r="C10" s="411"/>
      <c r="D10" s="412"/>
    </row>
    <row r="11" spans="1:4" x14ac:dyDescent="0.25">
      <c r="A11" s="411"/>
      <c r="B11" s="411"/>
      <c r="C11" s="411"/>
      <c r="D11" s="412"/>
    </row>
    <row r="12" spans="1:4" x14ac:dyDescent="0.25">
      <c r="A12" s="411"/>
      <c r="B12" s="411"/>
      <c r="C12" s="411"/>
      <c r="D12" s="412"/>
    </row>
    <row r="13" spans="1:4" x14ac:dyDescent="0.25">
      <c r="A13" s="411"/>
      <c r="B13" s="411"/>
      <c r="C13" s="411"/>
      <c r="D13" s="412"/>
    </row>
    <row r="14" spans="1:4" x14ac:dyDescent="0.25">
      <c r="A14" s="411"/>
      <c r="B14" s="411"/>
      <c r="C14" s="411"/>
      <c r="D14" s="412"/>
    </row>
    <row r="15" spans="1:4" x14ac:dyDescent="0.25">
      <c r="A15" s="411"/>
      <c r="B15" s="411"/>
      <c r="C15" s="411"/>
      <c r="D15" s="412"/>
    </row>
    <row r="16" spans="1:4" x14ac:dyDescent="0.25">
      <c r="A16" s="411"/>
      <c r="B16" s="411"/>
      <c r="C16" s="411"/>
      <c r="D16" s="412"/>
    </row>
    <row r="17" spans="1:4" x14ac:dyDescent="0.25">
      <c r="A17" s="411"/>
      <c r="B17" s="411"/>
      <c r="C17" s="411"/>
      <c r="D17" s="412"/>
    </row>
    <row r="18" spans="1:4" x14ac:dyDescent="0.25">
      <c r="A18" s="411"/>
      <c r="B18" s="411"/>
      <c r="C18" s="411"/>
      <c r="D18" s="412"/>
    </row>
    <row r="19" spans="1:4" x14ac:dyDescent="0.25">
      <c r="A19" s="411"/>
      <c r="B19" s="411"/>
      <c r="C19" s="411"/>
      <c r="D19" s="412"/>
    </row>
    <row r="20" spans="1:4" x14ac:dyDescent="0.25">
      <c r="A20" s="411"/>
      <c r="B20" s="411"/>
      <c r="C20" s="411"/>
      <c r="D20" s="412"/>
    </row>
    <row r="21" spans="1:4" x14ac:dyDescent="0.25">
      <c r="A21" s="411"/>
      <c r="B21" s="411"/>
      <c r="C21" s="411"/>
      <c r="D21" s="412"/>
    </row>
    <row r="22" spans="1:4" x14ac:dyDescent="0.25">
      <c r="A22" s="411"/>
      <c r="B22" s="411"/>
      <c r="C22" s="411"/>
      <c r="D22" s="412"/>
    </row>
    <row r="23" spans="1:4" x14ac:dyDescent="0.25">
      <c r="A23" s="411"/>
      <c r="B23" s="411"/>
      <c r="C23" s="411"/>
      <c r="D23" s="412"/>
    </row>
    <row r="24" spans="1:4" x14ac:dyDescent="0.25">
      <c r="A24" s="411"/>
      <c r="B24" s="411"/>
      <c r="C24" s="411"/>
      <c r="D24" s="412"/>
    </row>
    <row r="25" spans="1:4" x14ac:dyDescent="0.25">
      <c r="A25" s="411"/>
      <c r="B25" s="411"/>
      <c r="C25" s="411"/>
      <c r="D25" s="412"/>
    </row>
    <row r="26" spans="1:4" x14ac:dyDescent="0.25">
      <c r="A26" s="411"/>
      <c r="B26" s="411"/>
      <c r="C26" s="411"/>
      <c r="D26" s="412"/>
    </row>
    <row r="27" spans="1:4" x14ac:dyDescent="0.25">
      <c r="A27" s="411"/>
      <c r="B27" s="411"/>
      <c r="C27" s="411"/>
      <c r="D27" s="412"/>
    </row>
    <row r="28" spans="1:4" x14ac:dyDescent="0.25">
      <c r="A28" s="411"/>
      <c r="B28" s="411"/>
      <c r="C28" s="411"/>
      <c r="D28" s="412"/>
    </row>
    <row r="29" spans="1:4" x14ac:dyDescent="0.25">
      <c r="A29" s="411"/>
      <c r="B29" s="411"/>
      <c r="C29" s="411"/>
      <c r="D29" s="412"/>
    </row>
    <row r="30" spans="1:4" x14ac:dyDescent="0.25">
      <c r="A30" s="411"/>
      <c r="B30" s="411"/>
      <c r="C30" s="411"/>
      <c r="D30" s="412"/>
    </row>
    <row r="31" spans="1:4" x14ac:dyDescent="0.25">
      <c r="A31" s="411"/>
      <c r="B31" s="411"/>
      <c r="C31" s="411"/>
      <c r="D31" s="412"/>
    </row>
  </sheetData>
  <sheetProtection algorithmName="SHA-512" hashValue="2Ww/qRVV6atpkfAVBh6m25+ZQmVgDmZZDOiOU7r4Qs8LY4jh9fB40b6u3yAaU9tMAqfaaQUljYAwMXK1gMg8LA==" saltValue="gzrJ9PUNHVGZ1U1xtMqKmw==" spinCount="100000" sheet="1" objects="1" scenarios="1"/>
  <dataValidations count="1">
    <dataValidation type="list" allowBlank="1" showInputMessage="1" showErrorMessage="1" sqref="B4:B31" xr:uid="{6EDF4639-1261-4904-920F-EE3E0359AB46}">
      <formula1>"Anleitung,Eingabe,Uebersicht,Listen,Alle"</formula1>
    </dataValidation>
  </dataValidations>
  <pageMargins left="0.7" right="0.7" top="0.78740157499999996" bottom="0.78740157499999996"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B105E-6622-4556-BA96-B76E642BD0A2}">
  <dimension ref="A1:I208"/>
  <sheetViews>
    <sheetView zoomScale="115" zoomScaleNormal="115" workbookViewId="0">
      <selection activeCell="B4" sqref="B4"/>
    </sheetView>
  </sheetViews>
  <sheetFormatPr baseColWidth="10" defaultColWidth="11.42578125" defaultRowHeight="12" x14ac:dyDescent="0.2"/>
  <cols>
    <col min="1" max="1" width="6.85546875" style="1" customWidth="1"/>
    <col min="2" max="2" width="12.85546875" style="1" customWidth="1"/>
    <col min="3" max="3" width="12.140625" style="3" customWidth="1"/>
    <col min="4" max="4" width="46.140625" style="37" customWidth="1"/>
    <col min="5" max="5" width="51.140625" style="26" customWidth="1"/>
    <col min="6" max="7" width="46.140625" style="26" customWidth="1"/>
    <col min="8" max="8" width="11.42578125" style="1"/>
    <col min="9" max="9" width="6.140625" style="1" customWidth="1"/>
    <col min="10" max="16384" width="11.42578125" style="1"/>
  </cols>
  <sheetData>
    <row r="1" spans="1:9" ht="23.25" customHeight="1" thickBot="1" x14ac:dyDescent="0.25">
      <c r="A1" s="28">
        <f>VLOOKUP(C1,H1:I3,2)</f>
        <v>2</v>
      </c>
      <c r="B1" s="29" t="s">
        <v>38</v>
      </c>
      <c r="C1" s="34" t="s">
        <v>39</v>
      </c>
      <c r="D1" s="35"/>
      <c r="E1" s="22" t="s">
        <v>40</v>
      </c>
      <c r="F1" s="17"/>
      <c r="G1" s="17"/>
      <c r="H1" s="18" t="str">
        <f>E3</f>
        <v>deutsch</v>
      </c>
      <c r="I1" s="19">
        <v>1</v>
      </c>
    </row>
    <row r="2" spans="1:9" ht="23.25" customHeight="1" thickBot="1" x14ac:dyDescent="0.25">
      <c r="A2" s="32">
        <v>1</v>
      </c>
      <c r="B2" s="30"/>
      <c r="C2" s="31">
        <v>2025</v>
      </c>
      <c r="D2" s="27" t="s">
        <v>41</v>
      </c>
      <c r="E2" s="18"/>
      <c r="F2" s="17"/>
      <c r="G2" s="17"/>
      <c r="H2" s="18" t="str">
        <f>F3</f>
        <v>französisch</v>
      </c>
      <c r="I2" s="19">
        <v>2</v>
      </c>
    </row>
    <row r="3" spans="1:9" ht="23.25" customHeight="1" x14ac:dyDescent="0.2">
      <c r="A3" s="21"/>
      <c r="B3" s="20"/>
      <c r="C3" s="20" t="s">
        <v>71</v>
      </c>
      <c r="D3" s="36" t="s">
        <v>42</v>
      </c>
      <c r="E3" s="23" t="s">
        <v>43</v>
      </c>
      <c r="F3" s="24" t="s">
        <v>39</v>
      </c>
      <c r="G3" s="25" t="s">
        <v>44</v>
      </c>
      <c r="H3" s="18" t="str">
        <f>G3</f>
        <v>italienisch</v>
      </c>
      <c r="I3" s="19">
        <v>3</v>
      </c>
    </row>
    <row r="4" spans="1:9" ht="23.25" customHeight="1" x14ac:dyDescent="0.2">
      <c r="C4" s="3">
        <v>1</v>
      </c>
      <c r="D4" s="37" t="str">
        <f t="shared" ref="D4:D35" si="0">INDEX($E$4:$G$503,$C4,$A$1)</f>
        <v>Outil d'aide pour les exigences A1.1, C1.1, C1.4 et C2.1</v>
      </c>
      <c r="E4" s="26" t="s">
        <v>88</v>
      </c>
      <c r="F4" s="26" t="s">
        <v>348</v>
      </c>
      <c r="G4" s="26" t="s">
        <v>183</v>
      </c>
    </row>
    <row r="5" spans="1:9" x14ac:dyDescent="0.2">
      <c r="C5" s="3">
        <v>2</v>
      </c>
      <c r="D5" s="37" t="str">
        <f t="shared" si="0"/>
        <v>Minergie-Quartier</v>
      </c>
      <c r="E5" s="26" t="s">
        <v>0</v>
      </c>
      <c r="F5" s="26" t="s">
        <v>349</v>
      </c>
      <c r="G5" s="26" t="s">
        <v>184</v>
      </c>
    </row>
    <row r="6" spans="1:9" x14ac:dyDescent="0.2">
      <c r="C6" s="3">
        <v>3</v>
      </c>
      <c r="D6" s="37" t="str">
        <f t="shared" si="0"/>
        <v>Instructions</v>
      </c>
      <c r="E6" s="26" t="s">
        <v>45</v>
      </c>
      <c r="F6" s="26" t="s">
        <v>350</v>
      </c>
      <c r="G6" s="26" t="s">
        <v>185</v>
      </c>
    </row>
    <row r="7" spans="1:9" ht="149.1" customHeight="1" x14ac:dyDescent="0.2">
      <c r="C7" s="3">
        <v>4</v>
      </c>
      <c r="D7" s="37" t="str">
        <f t="shared" si="0"/>
        <v>Cet outil d'aide est nécessaire pour la justification du respect des exigences suivantes :
 - A1.1 Certification Minergie (-P/-A/-ECO) 
- C1.1 Énergie d'exploitation 
- C1.4 Utilisation de l'énergie solaire 
- C2.1 Émissions de gaz à effet de serre gris
La Plateforme-Label indique quels justificatifs complémentaires doivent être fournis.</v>
      </c>
      <c r="E7" s="26" t="s">
        <v>562</v>
      </c>
      <c r="F7" s="26" t="s">
        <v>563</v>
      </c>
      <c r="G7" s="26" t="s">
        <v>564</v>
      </c>
    </row>
    <row r="8" spans="1:9" x14ac:dyDescent="0.2">
      <c r="C8" s="3">
        <v>5</v>
      </c>
      <c r="D8" s="37" t="str">
        <f t="shared" si="0"/>
        <v>Champ de saisie</v>
      </c>
      <c r="E8" s="26" t="s">
        <v>180</v>
      </c>
      <c r="F8" s="26" t="s">
        <v>351</v>
      </c>
      <c r="G8" s="26" t="s">
        <v>186</v>
      </c>
    </row>
    <row r="9" spans="1:9" x14ac:dyDescent="0.2">
      <c r="C9" s="3">
        <v>6</v>
      </c>
      <c r="D9" s="37" t="str">
        <f t="shared" si="0"/>
        <v>Report du justificatif Minergie pour bâtiment</v>
      </c>
      <c r="E9" s="26" t="s">
        <v>150</v>
      </c>
      <c r="F9" s="26" t="s">
        <v>352</v>
      </c>
      <c r="G9" s="26" t="s">
        <v>187</v>
      </c>
    </row>
    <row r="10" spans="1:9" x14ac:dyDescent="0.2">
      <c r="C10" s="3">
        <v>7</v>
      </c>
      <c r="D10" s="37" t="str">
        <f t="shared" si="0"/>
        <v>Champ à sélectionner</v>
      </c>
      <c r="E10" s="26" t="s">
        <v>181</v>
      </c>
      <c r="F10" s="26" t="s">
        <v>353</v>
      </c>
      <c r="G10" s="26" t="s">
        <v>188</v>
      </c>
    </row>
    <row r="11" spans="1:9" x14ac:dyDescent="0.2">
      <c r="C11" s="3">
        <v>8</v>
      </c>
      <c r="D11" s="37" t="str">
        <f t="shared" si="0"/>
        <v>Version</v>
      </c>
      <c r="E11" s="26" t="s">
        <v>46</v>
      </c>
      <c r="F11" s="26" t="s">
        <v>46</v>
      </c>
      <c r="G11" s="26" t="s">
        <v>189</v>
      </c>
    </row>
    <row r="12" spans="1:9" x14ac:dyDescent="0.2">
      <c r="C12" s="3">
        <v>9</v>
      </c>
      <c r="D12" s="37" t="str">
        <f t="shared" si="0"/>
        <v>Chiffres clés</v>
      </c>
      <c r="E12" s="26" t="s">
        <v>1</v>
      </c>
      <c r="F12" s="26" t="s">
        <v>354</v>
      </c>
      <c r="G12" s="26" t="s">
        <v>190</v>
      </c>
    </row>
    <row r="13" spans="1:9" x14ac:dyDescent="0.2">
      <c r="C13" s="3">
        <v>10</v>
      </c>
      <c r="D13" s="37" t="str">
        <f t="shared" si="0"/>
        <v>Bâtiment</v>
      </c>
      <c r="E13" s="26" t="s">
        <v>47</v>
      </c>
      <c r="F13" s="26" t="s">
        <v>355</v>
      </c>
      <c r="G13" s="26" t="s">
        <v>191</v>
      </c>
    </row>
    <row r="14" spans="1:9" x14ac:dyDescent="0.2">
      <c r="C14" s="3">
        <v>11</v>
      </c>
      <c r="D14" s="37" t="str">
        <f t="shared" si="0"/>
        <v>Informations sur les bâtiments</v>
      </c>
      <c r="E14" s="26" t="s">
        <v>73</v>
      </c>
      <c r="F14" s="26" t="s">
        <v>356</v>
      </c>
      <c r="G14" s="26" t="s">
        <v>192</v>
      </c>
    </row>
    <row r="15" spans="1:9" x14ac:dyDescent="0.2">
      <c r="C15" s="3">
        <v>12</v>
      </c>
      <c r="D15" s="37" t="str">
        <f t="shared" si="0"/>
        <v>Désignation du bâtiment</v>
      </c>
      <c r="E15" s="26" t="s">
        <v>2</v>
      </c>
      <c r="F15" s="26" t="s">
        <v>357</v>
      </c>
      <c r="G15" s="26" t="s">
        <v>193</v>
      </c>
    </row>
    <row r="16" spans="1:9" x14ac:dyDescent="0.2">
      <c r="C16" s="3">
        <v>13</v>
      </c>
      <c r="D16" s="37" t="str">
        <f t="shared" si="0"/>
        <v>Catégorie de bâtiment</v>
      </c>
      <c r="E16" s="26" t="s">
        <v>113</v>
      </c>
      <c r="F16" s="26" t="s">
        <v>358</v>
      </c>
      <c r="G16" s="26" t="s">
        <v>194</v>
      </c>
    </row>
    <row r="17" spans="3:7" x14ac:dyDescent="0.2">
      <c r="C17" s="3">
        <v>14</v>
      </c>
      <c r="D17" s="37" t="str">
        <f t="shared" si="0"/>
        <v>Surface de référence énergétique SRE</v>
      </c>
      <c r="E17" s="26" t="s">
        <v>70</v>
      </c>
      <c r="F17" s="26" t="s">
        <v>359</v>
      </c>
      <c r="G17" s="26" t="s">
        <v>195</v>
      </c>
    </row>
    <row r="18" spans="3:7" x14ac:dyDescent="0.2">
      <c r="C18" s="3">
        <v>15</v>
      </c>
      <c r="D18" s="37" t="str">
        <f t="shared" si="0"/>
        <v>Type de rénovation de l'enveloppe du bâtiment</v>
      </c>
      <c r="E18" s="26" t="s">
        <v>559</v>
      </c>
      <c r="F18" s="336" t="s">
        <v>569</v>
      </c>
      <c r="G18" s="336" t="s">
        <v>594</v>
      </c>
    </row>
    <row r="19" spans="3:7" x14ac:dyDescent="0.2">
      <c r="C19" s="3">
        <v>16</v>
      </c>
      <c r="D19" s="37" t="str">
        <f t="shared" si="0"/>
        <v>Standard Minergie</v>
      </c>
      <c r="E19" s="26" t="s">
        <v>74</v>
      </c>
      <c r="F19" s="26" t="s">
        <v>196</v>
      </c>
      <c r="G19" s="26" t="s">
        <v>196</v>
      </c>
    </row>
    <row r="20" spans="3:7" x14ac:dyDescent="0.2">
      <c r="C20" s="3">
        <v>17</v>
      </c>
      <c r="D20" s="37">
        <f t="shared" si="0"/>
        <v>0</v>
      </c>
    </row>
    <row r="21" spans="3:7" x14ac:dyDescent="0.2">
      <c r="C21" s="3">
        <v>18</v>
      </c>
      <c r="D21" s="37" t="str">
        <f t="shared" si="0"/>
        <v>SRE du bâtiment déconstruit</v>
      </c>
      <c r="E21" s="26" t="s">
        <v>57</v>
      </c>
      <c r="F21" s="26" t="s">
        <v>360</v>
      </c>
      <c r="G21" s="26" t="s">
        <v>197</v>
      </c>
    </row>
    <row r="22" spans="3:7" x14ac:dyDescent="0.2">
      <c r="C22" s="3">
        <v>19</v>
      </c>
      <c r="D22" s="37" t="str">
        <f t="shared" si="0"/>
        <v>Âge du bâtiment déconstruit</v>
      </c>
      <c r="E22" s="26" t="s">
        <v>56</v>
      </c>
      <c r="F22" s="26" t="s">
        <v>361</v>
      </c>
      <c r="G22" s="26" t="s">
        <v>198</v>
      </c>
    </row>
    <row r="23" spans="3:7" ht="24" x14ac:dyDescent="0.2">
      <c r="C23" s="3">
        <v>20</v>
      </c>
      <c r="D23" s="37" t="str">
        <f t="shared" si="0"/>
        <v>Compensation des indices pour les nouvelles constructions et les rénovations Minergie</v>
      </c>
      <c r="E23" s="26" t="s">
        <v>141</v>
      </c>
      <c r="F23" s="26" t="s">
        <v>362</v>
      </c>
      <c r="G23" s="26" t="s">
        <v>503</v>
      </c>
    </row>
    <row r="24" spans="3:7" x14ac:dyDescent="0.2">
      <c r="C24" s="3">
        <v>21</v>
      </c>
      <c r="D24" s="37" t="str">
        <f t="shared" si="0"/>
        <v>Indice Minergie (MKZ)</v>
      </c>
      <c r="E24" s="26" t="s">
        <v>37</v>
      </c>
      <c r="F24" s="26" t="s">
        <v>363</v>
      </c>
      <c r="G24" s="26" t="s">
        <v>199</v>
      </c>
    </row>
    <row r="25" spans="3:7" x14ac:dyDescent="0.2">
      <c r="C25" s="3">
        <v>22</v>
      </c>
      <c r="D25" s="37" t="str">
        <f t="shared" si="0"/>
        <v>Besoin de chaleur pour le chauffage (Qh)</v>
      </c>
      <c r="E25" s="26" t="s">
        <v>49</v>
      </c>
      <c r="F25" s="26" t="s">
        <v>364</v>
      </c>
      <c r="G25" s="26" t="s">
        <v>200</v>
      </c>
    </row>
    <row r="26" spans="3:7" x14ac:dyDescent="0.2">
      <c r="C26" s="3">
        <v>23</v>
      </c>
      <c r="D26" s="37" t="str">
        <f t="shared" si="0"/>
        <v>Emissions grises</v>
      </c>
      <c r="E26" s="26" t="s">
        <v>50</v>
      </c>
      <c r="F26" s="26" t="s">
        <v>529</v>
      </c>
      <c r="G26" s="26" t="s">
        <v>504</v>
      </c>
    </row>
    <row r="27" spans="3:7" x14ac:dyDescent="0.2">
      <c r="C27" s="3">
        <v>24</v>
      </c>
      <c r="D27" s="37" t="str">
        <f t="shared" si="0"/>
        <v>Autoproduction d'électricité</v>
      </c>
      <c r="E27" s="26" t="s">
        <v>36</v>
      </c>
      <c r="F27" s="26" t="s">
        <v>365</v>
      </c>
      <c r="G27" s="26" t="s">
        <v>201</v>
      </c>
    </row>
    <row r="28" spans="3:7" x14ac:dyDescent="0.2">
      <c r="C28" s="3">
        <v>25</v>
      </c>
      <c r="D28" s="37" t="str">
        <f t="shared" si="0"/>
        <v>Standard</v>
      </c>
      <c r="E28" s="26" t="s">
        <v>14</v>
      </c>
      <c r="F28" s="26" t="s">
        <v>14</v>
      </c>
      <c r="G28" s="26" t="s">
        <v>14</v>
      </c>
    </row>
    <row r="29" spans="3:7" x14ac:dyDescent="0.2">
      <c r="C29" s="3">
        <v>26</v>
      </c>
      <c r="D29" s="37" t="str">
        <f t="shared" si="0"/>
        <v>Bâtiment Minergie-P(-ECO)</v>
      </c>
      <c r="E29" s="26" t="s">
        <v>68</v>
      </c>
      <c r="F29" s="26" t="s">
        <v>366</v>
      </c>
      <c r="G29" s="26" t="s">
        <v>202</v>
      </c>
    </row>
    <row r="30" spans="3:7" x14ac:dyDescent="0.2">
      <c r="C30" s="3">
        <v>27</v>
      </c>
      <c r="D30" s="37" t="str">
        <f t="shared" si="0"/>
        <v>Surface</v>
      </c>
      <c r="E30" s="26" t="s">
        <v>54</v>
      </c>
      <c r="F30" s="26" t="s">
        <v>367</v>
      </c>
      <c r="G30" s="26" t="s">
        <v>203</v>
      </c>
    </row>
    <row r="31" spans="3:7" x14ac:dyDescent="0.2">
      <c r="C31" s="3">
        <v>28</v>
      </c>
      <c r="D31" s="37" t="str">
        <f t="shared" si="0"/>
        <v>Bâtiment Minergie-A(-ECO)</v>
      </c>
      <c r="E31" s="26" t="s">
        <v>69</v>
      </c>
      <c r="F31" s="26" t="s">
        <v>368</v>
      </c>
      <c r="G31" s="26" t="s">
        <v>204</v>
      </c>
    </row>
    <row r="32" spans="3:7" x14ac:dyDescent="0.2">
      <c r="C32" s="3">
        <v>29</v>
      </c>
      <c r="D32" s="37" t="str">
        <f t="shared" si="0"/>
        <v>Bâtiments existants avec dérogation</v>
      </c>
      <c r="E32" s="26" t="s">
        <v>53</v>
      </c>
      <c r="F32" s="26" t="s">
        <v>369</v>
      </c>
      <c r="G32" s="26" t="s">
        <v>205</v>
      </c>
    </row>
    <row r="33" spans="3:7" x14ac:dyDescent="0.2">
      <c r="C33" s="3">
        <v>30</v>
      </c>
      <c r="D33" s="37" t="str">
        <f t="shared" si="0"/>
        <v>Surface du toit</v>
      </c>
      <c r="E33" s="26" t="s">
        <v>10</v>
      </c>
      <c r="F33" s="26" t="s">
        <v>370</v>
      </c>
      <c r="G33" s="26" t="s">
        <v>206</v>
      </c>
    </row>
    <row r="34" spans="3:7" x14ac:dyDescent="0.2">
      <c r="C34" s="3">
        <v>31</v>
      </c>
      <c r="D34" s="37" t="str">
        <f t="shared" si="0"/>
        <v>Exploité avec une installation PV</v>
      </c>
      <c r="E34" s="26" t="s">
        <v>52</v>
      </c>
      <c r="F34" s="26" t="s">
        <v>371</v>
      </c>
      <c r="G34" s="26" t="s">
        <v>207</v>
      </c>
    </row>
    <row r="35" spans="3:7" x14ac:dyDescent="0.2">
      <c r="C35" s="3">
        <v>32</v>
      </c>
      <c r="D35" s="37" t="str">
        <f t="shared" si="0"/>
        <v>Péjoration "Démolition"</v>
      </c>
      <c r="E35" s="26" t="s">
        <v>129</v>
      </c>
      <c r="F35" s="26" t="s">
        <v>372</v>
      </c>
      <c r="G35" s="26" t="s">
        <v>208</v>
      </c>
    </row>
    <row r="36" spans="3:7" x14ac:dyDescent="0.2">
      <c r="C36" s="3">
        <v>33</v>
      </c>
      <c r="D36" s="37" t="str">
        <f t="shared" ref="D36:D67" si="1">INDEX($E$4:$G$503,$C36,$A$1)</f>
        <v>Puissance installée</v>
      </c>
      <c r="E36" s="26" t="s">
        <v>156</v>
      </c>
      <c r="F36" s="26" t="s">
        <v>373</v>
      </c>
      <c r="G36" s="26" t="s">
        <v>209</v>
      </c>
    </row>
    <row r="37" spans="3:7" x14ac:dyDescent="0.2">
      <c r="C37" s="3">
        <v>34</v>
      </c>
      <c r="D37" s="37" t="str">
        <f t="shared" si="1"/>
        <v>Surfaces de référence énergétique du quartier</v>
      </c>
      <c r="E37" s="26" t="s">
        <v>178</v>
      </c>
      <c r="F37" s="26" t="s">
        <v>374</v>
      </c>
      <c r="G37" s="26" t="s">
        <v>210</v>
      </c>
    </row>
    <row r="38" spans="3:7" x14ac:dyDescent="0.2">
      <c r="C38" s="3">
        <v>35</v>
      </c>
      <c r="D38" s="37" t="str">
        <f t="shared" si="1"/>
        <v>Total</v>
      </c>
      <c r="E38" s="26" t="s">
        <v>5</v>
      </c>
      <c r="F38" s="26" t="s">
        <v>375</v>
      </c>
      <c r="G38" s="26" t="s">
        <v>211</v>
      </c>
    </row>
    <row r="39" spans="3:7" x14ac:dyDescent="0.2">
      <c r="C39" s="3">
        <v>36</v>
      </c>
      <c r="D39" s="37" t="str">
        <f t="shared" si="1"/>
        <v>Poids moyen pondéré par la surface</v>
      </c>
      <c r="E39" s="26" t="s">
        <v>8</v>
      </c>
      <c r="F39" s="26" t="s">
        <v>376</v>
      </c>
      <c r="G39" s="26" t="s">
        <v>212</v>
      </c>
    </row>
    <row r="40" spans="3:7" x14ac:dyDescent="0.2">
      <c r="C40" s="3">
        <v>37</v>
      </c>
      <c r="D40" s="37" t="str">
        <f t="shared" si="1"/>
        <v>Exigence</v>
      </c>
      <c r="E40" s="26" t="s">
        <v>12</v>
      </c>
      <c r="F40" s="26" t="s">
        <v>377</v>
      </c>
      <c r="G40" s="26" t="s">
        <v>213</v>
      </c>
    </row>
    <row r="41" spans="3:7" x14ac:dyDescent="0.2">
      <c r="C41" s="3">
        <v>38</v>
      </c>
      <c r="D41" s="37" t="str">
        <f t="shared" si="1"/>
        <v>Valeur du projet</v>
      </c>
      <c r="E41" s="26" t="s">
        <v>34</v>
      </c>
      <c r="F41" s="26" t="s">
        <v>378</v>
      </c>
      <c r="G41" s="26" t="s">
        <v>214</v>
      </c>
    </row>
    <row r="42" spans="3:7" ht="24" x14ac:dyDescent="0.2">
      <c r="C42" s="3">
        <v>39</v>
      </c>
      <c r="D42" s="37" t="str">
        <f t="shared" si="1"/>
        <v>Emissions grises de tous les nouveaux bâts. du quartier</v>
      </c>
      <c r="E42" s="26" t="s">
        <v>162</v>
      </c>
      <c r="F42" s="26" t="s">
        <v>530</v>
      </c>
      <c r="G42" s="26" t="s">
        <v>215</v>
      </c>
    </row>
    <row r="43" spans="3:7" x14ac:dyDescent="0.2">
      <c r="C43" s="3">
        <v>40</v>
      </c>
      <c r="D43" s="37" t="str">
        <f t="shared" si="1"/>
        <v>Quartier</v>
      </c>
      <c r="E43" s="26" t="s">
        <v>51</v>
      </c>
      <c r="F43" s="26" t="s">
        <v>379</v>
      </c>
      <c r="G43" s="26" t="s">
        <v>216</v>
      </c>
    </row>
    <row r="44" spans="3:7" x14ac:dyDescent="0.2">
      <c r="C44" s="3">
        <v>41</v>
      </c>
      <c r="D44" s="37" t="str">
        <f t="shared" si="1"/>
        <v>Habitat collectif</v>
      </c>
      <c r="E44" s="26" t="s">
        <v>3</v>
      </c>
      <c r="F44" s="26" t="s">
        <v>380</v>
      </c>
      <c r="G44" s="26" t="s">
        <v>217</v>
      </c>
    </row>
    <row r="45" spans="3:7" x14ac:dyDescent="0.2">
      <c r="C45" s="3">
        <v>42</v>
      </c>
      <c r="D45" s="37" t="str">
        <f t="shared" si="1"/>
        <v>Habitat individuel</v>
      </c>
      <c r="E45" s="26" t="s">
        <v>16</v>
      </c>
      <c r="F45" s="26" t="s">
        <v>381</v>
      </c>
      <c r="G45" s="26" t="s">
        <v>218</v>
      </c>
    </row>
    <row r="46" spans="3:7" x14ac:dyDescent="0.2">
      <c r="C46" s="3">
        <v>43</v>
      </c>
      <c r="D46" s="37" t="str">
        <f t="shared" si="1"/>
        <v>Administration</v>
      </c>
      <c r="E46" s="26" t="s">
        <v>17</v>
      </c>
      <c r="F46" s="26" t="s">
        <v>382</v>
      </c>
      <c r="G46" s="26" t="s">
        <v>219</v>
      </c>
    </row>
    <row r="47" spans="3:7" x14ac:dyDescent="0.2">
      <c r="C47" s="3">
        <v>44</v>
      </c>
      <c r="D47" s="37" t="str">
        <f t="shared" si="1"/>
        <v>École</v>
      </c>
      <c r="E47" s="26" t="s">
        <v>19</v>
      </c>
      <c r="F47" s="26" t="s">
        <v>383</v>
      </c>
      <c r="G47" s="26" t="s">
        <v>220</v>
      </c>
    </row>
    <row r="48" spans="3:7" x14ac:dyDescent="0.2">
      <c r="C48" s="3">
        <v>45</v>
      </c>
      <c r="D48" s="37" t="str">
        <f t="shared" si="1"/>
        <v>Commerce</v>
      </c>
      <c r="E48" s="26" t="s">
        <v>21</v>
      </c>
      <c r="F48" s="26" t="s">
        <v>384</v>
      </c>
      <c r="G48" s="26" t="s">
        <v>221</v>
      </c>
    </row>
    <row r="49" spans="3:7" x14ac:dyDescent="0.2">
      <c r="C49" s="3">
        <v>46</v>
      </c>
      <c r="D49" s="37" t="str">
        <f t="shared" si="1"/>
        <v>Restauration</v>
      </c>
      <c r="E49" s="26" t="s">
        <v>23</v>
      </c>
      <c r="F49" s="26" t="s">
        <v>385</v>
      </c>
      <c r="G49" s="26" t="s">
        <v>222</v>
      </c>
    </row>
    <row r="50" spans="3:7" x14ac:dyDescent="0.2">
      <c r="C50" s="3">
        <v>47</v>
      </c>
      <c r="D50" s="37" t="str">
        <f t="shared" si="1"/>
        <v>Lieu de rassemblement</v>
      </c>
      <c r="E50" s="26" t="s">
        <v>25</v>
      </c>
      <c r="F50" s="26" t="s">
        <v>386</v>
      </c>
      <c r="G50" s="26" t="s">
        <v>223</v>
      </c>
    </row>
    <row r="51" spans="3:7" x14ac:dyDescent="0.2">
      <c r="C51" s="3">
        <v>48</v>
      </c>
      <c r="D51" s="37" t="str">
        <f t="shared" si="1"/>
        <v>Hôpital</v>
      </c>
      <c r="E51" s="26" t="s">
        <v>26</v>
      </c>
      <c r="F51" s="26" t="s">
        <v>387</v>
      </c>
      <c r="G51" s="26" t="s">
        <v>224</v>
      </c>
    </row>
    <row r="52" spans="3:7" x14ac:dyDescent="0.2">
      <c r="C52" s="3">
        <v>49</v>
      </c>
      <c r="D52" s="37" t="str">
        <f t="shared" si="1"/>
        <v>Industrie</v>
      </c>
      <c r="E52" s="26" t="s">
        <v>27</v>
      </c>
      <c r="F52" s="26" t="s">
        <v>27</v>
      </c>
      <c r="G52" s="26" t="s">
        <v>27</v>
      </c>
    </row>
    <row r="53" spans="3:7" x14ac:dyDescent="0.2">
      <c r="C53" s="3">
        <v>50</v>
      </c>
      <c r="D53" s="37" t="str">
        <f t="shared" si="1"/>
        <v>Dépôt</v>
      </c>
      <c r="E53" s="26" t="s">
        <v>28</v>
      </c>
      <c r="F53" s="26" t="s">
        <v>388</v>
      </c>
      <c r="G53" s="26" t="s">
        <v>225</v>
      </c>
    </row>
    <row r="54" spans="3:7" x14ac:dyDescent="0.2">
      <c r="C54" s="3">
        <v>51</v>
      </c>
      <c r="D54" s="37" t="str">
        <f t="shared" si="1"/>
        <v>Installation sportive</v>
      </c>
      <c r="E54" s="26" t="s">
        <v>29</v>
      </c>
      <c r="F54" s="26" t="s">
        <v>389</v>
      </c>
      <c r="G54" s="26" t="s">
        <v>226</v>
      </c>
    </row>
    <row r="55" spans="3:7" x14ac:dyDescent="0.2">
      <c r="C55" s="3">
        <v>52</v>
      </c>
      <c r="D55" s="37" t="str">
        <f t="shared" si="1"/>
        <v>Piscine couverte</v>
      </c>
      <c r="E55" s="26" t="s">
        <v>30</v>
      </c>
      <c r="F55" s="26" t="s">
        <v>390</v>
      </c>
      <c r="G55" s="26" t="s">
        <v>227</v>
      </c>
    </row>
    <row r="56" spans="3:7" x14ac:dyDescent="0.2">
      <c r="C56" s="3">
        <v>53</v>
      </c>
      <c r="D56" s="37" t="str">
        <f t="shared" si="1"/>
        <v>Zone</v>
      </c>
      <c r="E56" s="26" t="s">
        <v>114</v>
      </c>
      <c r="F56" s="26" t="s">
        <v>114</v>
      </c>
      <c r="G56" s="26" t="s">
        <v>228</v>
      </c>
    </row>
    <row r="57" spans="3:7" x14ac:dyDescent="0.2">
      <c r="C57" s="3">
        <v>54</v>
      </c>
      <c r="D57" s="37" t="str">
        <f t="shared" si="1"/>
        <v>Minergie</v>
      </c>
      <c r="E57" s="26" t="s">
        <v>15</v>
      </c>
      <c r="F57" s="26" t="s">
        <v>15</v>
      </c>
      <c r="G57" s="26" t="s">
        <v>15</v>
      </c>
    </row>
    <row r="58" spans="3:7" x14ac:dyDescent="0.2">
      <c r="C58" s="3">
        <v>55</v>
      </c>
      <c r="D58" s="37" t="str">
        <f t="shared" si="1"/>
        <v>Minergie-A</v>
      </c>
      <c r="E58" s="26" t="s">
        <v>6</v>
      </c>
      <c r="F58" s="26" t="s">
        <v>6</v>
      </c>
      <c r="G58" s="26" t="s">
        <v>6</v>
      </c>
    </row>
    <row r="59" spans="3:7" x14ac:dyDescent="0.2">
      <c r="C59" s="3">
        <v>56</v>
      </c>
      <c r="D59" s="37" t="str">
        <f t="shared" si="1"/>
        <v>Minergie-P</v>
      </c>
      <c r="E59" s="26" t="s">
        <v>18</v>
      </c>
      <c r="F59" s="26" t="s">
        <v>18</v>
      </c>
      <c r="G59" s="26" t="s">
        <v>18</v>
      </c>
    </row>
    <row r="60" spans="3:7" x14ac:dyDescent="0.2">
      <c r="C60" s="3">
        <v>57</v>
      </c>
      <c r="D60" s="37" t="str">
        <f t="shared" si="1"/>
        <v>Minergie-ECO</v>
      </c>
      <c r="E60" s="26" t="s">
        <v>20</v>
      </c>
      <c r="F60" s="26" t="s">
        <v>20</v>
      </c>
      <c r="G60" s="26" t="s">
        <v>20</v>
      </c>
    </row>
    <row r="61" spans="3:7" x14ac:dyDescent="0.2">
      <c r="C61" s="3">
        <v>58</v>
      </c>
      <c r="D61" s="37" t="str">
        <f t="shared" si="1"/>
        <v>Minergie-A-ECO</v>
      </c>
      <c r="E61" s="26" t="s">
        <v>22</v>
      </c>
      <c r="F61" s="26" t="s">
        <v>22</v>
      </c>
      <c r="G61" s="26" t="s">
        <v>22</v>
      </c>
    </row>
    <row r="62" spans="3:7" x14ac:dyDescent="0.2">
      <c r="C62" s="3">
        <v>59</v>
      </c>
      <c r="D62" s="37" t="str">
        <f t="shared" si="1"/>
        <v>Minergie-P-ECO</v>
      </c>
      <c r="E62" s="26" t="s">
        <v>24</v>
      </c>
      <c r="F62" s="26" t="s">
        <v>24</v>
      </c>
      <c r="G62" s="26" t="s">
        <v>24</v>
      </c>
    </row>
    <row r="63" spans="3:7" x14ac:dyDescent="0.2">
      <c r="C63" s="3">
        <v>60</v>
      </c>
      <c r="D63" s="37" t="str">
        <f t="shared" si="1"/>
        <v>Encore ouvert</v>
      </c>
      <c r="E63" s="26" t="s">
        <v>31</v>
      </c>
      <c r="F63" s="26" t="s">
        <v>391</v>
      </c>
      <c r="G63" s="26" t="s">
        <v>229</v>
      </c>
    </row>
    <row r="64" spans="3:7" x14ac:dyDescent="0.2">
      <c r="C64" s="3">
        <v>61</v>
      </c>
      <c r="D64" s="37" t="str">
        <f t="shared" si="1"/>
        <v>Nouvelle construction Minergie</v>
      </c>
      <c r="E64" s="26" t="s">
        <v>541</v>
      </c>
      <c r="F64" s="26" t="s">
        <v>543</v>
      </c>
      <c r="G64" s="26" t="s">
        <v>545</v>
      </c>
    </row>
    <row r="65" spans="3:7" x14ac:dyDescent="0.2">
      <c r="C65" s="3">
        <v>62</v>
      </c>
      <c r="D65" s="37" t="str">
        <f t="shared" si="1"/>
        <v>Construction de remplacement</v>
      </c>
      <c r="E65" s="26" t="s">
        <v>131</v>
      </c>
      <c r="F65" s="26" t="s">
        <v>392</v>
      </c>
      <c r="G65" s="26" t="s">
        <v>230</v>
      </c>
    </row>
    <row r="66" spans="3:7" x14ac:dyDescent="0.2">
      <c r="C66" s="3">
        <v>63</v>
      </c>
      <c r="D66" s="37" t="str">
        <f t="shared" si="1"/>
        <v>tiennent compte</v>
      </c>
      <c r="E66" s="26" t="s">
        <v>136</v>
      </c>
      <c r="F66" s="26" t="s">
        <v>393</v>
      </c>
      <c r="G66" s="26" t="s">
        <v>231</v>
      </c>
    </row>
    <row r="67" spans="3:7" x14ac:dyDescent="0.2">
      <c r="C67" s="3">
        <v>64</v>
      </c>
      <c r="D67" s="37">
        <f t="shared" si="1"/>
        <v>0</v>
      </c>
    </row>
    <row r="68" spans="3:7" ht="24" x14ac:dyDescent="0.2">
      <c r="C68" s="3">
        <v>65</v>
      </c>
      <c r="D68" s="37" t="str">
        <f t="shared" ref="D68:D99" si="2">INDEX($E$4:$G$503,$C68,$A$1)</f>
        <v>Pas de rénovation (bâtiment dans l'inventaire de protection)</v>
      </c>
      <c r="E68" s="26" t="s">
        <v>558</v>
      </c>
      <c r="F68" s="336" t="s">
        <v>570</v>
      </c>
      <c r="G68" s="336" t="s">
        <v>571</v>
      </c>
    </row>
    <row r="69" spans="3:7" x14ac:dyDescent="0.2">
      <c r="C69" s="3">
        <v>66</v>
      </c>
      <c r="D69" s="37" t="str">
        <f t="shared" si="2"/>
        <v>Pas de rénovation (certificat Minergie existant)</v>
      </c>
      <c r="E69" s="26" t="s">
        <v>557</v>
      </c>
      <c r="F69" s="336" t="s">
        <v>573</v>
      </c>
      <c r="G69" s="336" t="s">
        <v>572</v>
      </c>
    </row>
    <row r="70" spans="3:7" x14ac:dyDescent="0.2">
      <c r="C70" s="3">
        <v>67</v>
      </c>
      <c r="D70" s="37" t="str">
        <f t="shared" si="2"/>
        <v>Rénovation selon CECB A/B/C ou SNBS</v>
      </c>
      <c r="E70" s="26" t="s">
        <v>554</v>
      </c>
      <c r="F70" s="336" t="s">
        <v>574</v>
      </c>
      <c r="G70" s="336" t="s">
        <v>575</v>
      </c>
    </row>
    <row r="71" spans="3:7" x14ac:dyDescent="0.2">
      <c r="C71" s="3">
        <v>68</v>
      </c>
      <c r="D71" s="37" t="str">
        <f t="shared" si="2"/>
        <v>Autres</v>
      </c>
      <c r="E71" s="26" t="s">
        <v>588</v>
      </c>
      <c r="F71" s="26" t="s">
        <v>589</v>
      </c>
      <c r="G71" s="26" t="s">
        <v>590</v>
      </c>
    </row>
    <row r="72" spans="3:7" x14ac:dyDescent="0.2">
      <c r="C72" s="3">
        <v>69</v>
      </c>
      <c r="D72" s="37" t="str">
        <f t="shared" si="2"/>
        <v>Aperçu</v>
      </c>
      <c r="E72" s="26" t="s">
        <v>11</v>
      </c>
      <c r="F72" s="26" t="s">
        <v>394</v>
      </c>
      <c r="G72" s="26" t="s">
        <v>232</v>
      </c>
    </row>
    <row r="73" spans="3:7" x14ac:dyDescent="0.2">
      <c r="C73" s="3">
        <v>70</v>
      </c>
      <c r="D73" s="37" t="str">
        <f t="shared" si="2"/>
        <v>Respecté?</v>
      </c>
      <c r="E73" s="26" t="s">
        <v>13</v>
      </c>
      <c r="F73" s="26" t="s">
        <v>395</v>
      </c>
      <c r="G73" s="26" t="s">
        <v>233</v>
      </c>
    </row>
    <row r="74" spans="3:7" x14ac:dyDescent="0.2">
      <c r="C74" s="3">
        <v>71</v>
      </c>
      <c r="D74" s="37" t="str">
        <f t="shared" si="2"/>
        <v>Informations sur les bâtiments déconstruits</v>
      </c>
      <c r="E74" s="26" t="s">
        <v>134</v>
      </c>
      <c r="F74" s="26" t="s">
        <v>396</v>
      </c>
      <c r="G74" s="26" t="s">
        <v>234</v>
      </c>
    </row>
    <row r="75" spans="3:7" x14ac:dyDescent="0.2">
      <c r="C75" s="3">
        <v>72</v>
      </c>
      <c r="D75" s="37" t="str">
        <f t="shared" si="2"/>
        <v>Emissions grises du bâtiment déconstruit</v>
      </c>
      <c r="E75" s="26" t="s">
        <v>58</v>
      </c>
      <c r="F75" s="26" t="s">
        <v>531</v>
      </c>
      <c r="G75" s="26" t="s">
        <v>235</v>
      </c>
    </row>
    <row r="76" spans="3:7" x14ac:dyDescent="0.2">
      <c r="C76" s="3">
        <v>73</v>
      </c>
      <c r="D76" s="37" t="str">
        <f t="shared" si="2"/>
        <v>Production de chaleur</v>
      </c>
      <c r="E76" s="26" t="s">
        <v>149</v>
      </c>
      <c r="F76" s="26" t="s">
        <v>397</v>
      </c>
      <c r="G76" s="26" t="s">
        <v>285</v>
      </c>
    </row>
    <row r="77" spans="3:7" x14ac:dyDescent="0.2">
      <c r="C77" s="3">
        <v>74</v>
      </c>
      <c r="D77" s="37" t="str">
        <f t="shared" si="2"/>
        <v>PAC air fourni / air évacué</v>
      </c>
      <c r="E77" s="26" t="s">
        <v>89</v>
      </c>
      <c r="F77" s="26" t="s">
        <v>398</v>
      </c>
      <c r="G77" s="26" t="s">
        <v>236</v>
      </c>
    </row>
    <row r="78" spans="3:7" ht="24" x14ac:dyDescent="0.2">
      <c r="C78" s="3">
        <v>75</v>
      </c>
      <c r="D78" s="37" t="str">
        <f t="shared" si="2"/>
        <v>Rejets de chaleur provenant d'installations de production de froid (industriel ou pour la climatisation)</v>
      </c>
      <c r="E78" s="26" t="s">
        <v>90</v>
      </c>
      <c r="F78" s="26" t="s">
        <v>532</v>
      </c>
      <c r="G78" s="26" t="s">
        <v>237</v>
      </c>
    </row>
    <row r="79" spans="3:7" x14ac:dyDescent="0.2">
      <c r="C79" s="3">
        <v>76</v>
      </c>
      <c r="D79" s="37" t="str">
        <f t="shared" si="2"/>
        <v>PAC sur eaux usées</v>
      </c>
      <c r="E79" s="26" t="s">
        <v>91</v>
      </c>
      <c r="F79" s="26" t="s">
        <v>399</v>
      </c>
      <c r="G79" s="26" t="s">
        <v>238</v>
      </c>
    </row>
    <row r="80" spans="3:7" x14ac:dyDescent="0.2">
      <c r="C80" s="3">
        <v>77</v>
      </c>
      <c r="D80" s="37" t="str">
        <f t="shared" si="2"/>
        <v>Chauffe-eau électrique</v>
      </c>
      <c r="E80" s="26" t="s">
        <v>61</v>
      </c>
      <c r="F80" s="26" t="s">
        <v>400</v>
      </c>
      <c r="G80" s="26" t="s">
        <v>239</v>
      </c>
    </row>
    <row r="81" spans="3:7" x14ac:dyDescent="0.2">
      <c r="C81" s="3">
        <v>78</v>
      </c>
      <c r="D81" s="37" t="str">
        <f t="shared" si="2"/>
        <v>PAC à registre terrestre</v>
      </c>
      <c r="E81" s="26" t="s">
        <v>92</v>
      </c>
      <c r="F81" s="26" t="s">
        <v>401</v>
      </c>
      <c r="G81" s="26" t="s">
        <v>240</v>
      </c>
    </row>
    <row r="82" spans="3:7" x14ac:dyDescent="0.2">
      <c r="C82" s="3">
        <v>79</v>
      </c>
      <c r="D82" s="37" t="str">
        <f t="shared" si="2"/>
        <v>PAC à sondes géothermiques</v>
      </c>
      <c r="E82" s="26" t="s">
        <v>93</v>
      </c>
      <c r="F82" s="26" t="s">
        <v>402</v>
      </c>
      <c r="G82" s="26" t="s">
        <v>241</v>
      </c>
    </row>
    <row r="83" spans="3:7" x14ac:dyDescent="0.2">
      <c r="C83" s="3">
        <v>80</v>
      </c>
      <c r="D83" s="37" t="str">
        <f t="shared" si="2"/>
        <v>Chauffage à distance (&lt;=25% non renouvelable)</v>
      </c>
      <c r="E83" s="26" t="s">
        <v>66</v>
      </c>
      <c r="F83" s="26" t="s">
        <v>403</v>
      </c>
      <c r="G83" s="26" t="s">
        <v>242</v>
      </c>
    </row>
    <row r="84" spans="3:7" x14ac:dyDescent="0.2">
      <c r="C84" s="3">
        <v>81</v>
      </c>
      <c r="D84" s="37" t="str">
        <f t="shared" si="2"/>
        <v>Chauffage à distance (&lt;=50% non renouvelable)</v>
      </c>
      <c r="E84" s="26" t="s">
        <v>63</v>
      </c>
      <c r="F84" s="26" t="s">
        <v>404</v>
      </c>
      <c r="G84" s="26" t="s">
        <v>243</v>
      </c>
    </row>
    <row r="85" spans="3:7" x14ac:dyDescent="0.2">
      <c r="C85" s="3">
        <v>82</v>
      </c>
      <c r="D85" s="37" t="str">
        <f t="shared" si="2"/>
        <v>Chauffage à distance (&lt;=75% non renouvelable)</v>
      </c>
      <c r="E85" s="26" t="s">
        <v>65</v>
      </c>
      <c r="F85" s="26" t="s">
        <v>405</v>
      </c>
      <c r="G85" s="26" t="s">
        <v>244</v>
      </c>
    </row>
    <row r="86" spans="3:7" x14ac:dyDescent="0.2">
      <c r="C86" s="3">
        <v>83</v>
      </c>
      <c r="D86" s="37" t="str">
        <f t="shared" si="2"/>
        <v>Chauffage à distance (&gt;75% non renouvelable)</v>
      </c>
      <c r="E86" s="26" t="s">
        <v>64</v>
      </c>
      <c r="F86" s="26" t="s">
        <v>406</v>
      </c>
      <c r="G86" s="26" t="s">
        <v>245</v>
      </c>
    </row>
    <row r="87" spans="3:7" x14ac:dyDescent="0.2">
      <c r="C87" s="3">
        <v>84</v>
      </c>
      <c r="D87" s="37" t="str">
        <f t="shared" si="2"/>
        <v>Chauffage au gaz / Chauffe-eau à gaz</v>
      </c>
      <c r="E87" s="26" t="s">
        <v>94</v>
      </c>
      <c r="F87" s="26" t="s">
        <v>407</v>
      </c>
      <c r="G87" s="26" t="s">
        <v>246</v>
      </c>
    </row>
    <row r="88" spans="3:7" x14ac:dyDescent="0.2">
      <c r="C88" s="3">
        <v>85</v>
      </c>
      <c r="D88" s="37" t="str">
        <f t="shared" si="2"/>
        <v>Pompe à chaleur à gaz</v>
      </c>
      <c r="E88" s="26" t="s">
        <v>95</v>
      </c>
      <c r="F88" s="26" t="s">
        <v>408</v>
      </c>
      <c r="G88" s="26" t="s">
        <v>247</v>
      </c>
    </row>
    <row r="89" spans="3:7" x14ac:dyDescent="0.2">
      <c r="C89" s="3">
        <v>86</v>
      </c>
      <c r="D89" s="37" t="str">
        <f t="shared" si="2"/>
        <v>PAC eau-eau</v>
      </c>
      <c r="E89" s="26" t="s">
        <v>96</v>
      </c>
      <c r="F89" s="26" t="s">
        <v>409</v>
      </c>
      <c r="G89" s="26" t="s">
        <v>248</v>
      </c>
    </row>
    <row r="90" spans="3:7" x14ac:dyDescent="0.2">
      <c r="C90" s="3">
        <v>87</v>
      </c>
      <c r="D90" s="37" t="str">
        <f t="shared" si="2"/>
        <v>Chauffage au bois</v>
      </c>
      <c r="E90" s="26" t="s">
        <v>59</v>
      </c>
      <c r="F90" s="26" t="s">
        <v>410</v>
      </c>
      <c r="G90" s="26" t="s">
        <v>249</v>
      </c>
    </row>
    <row r="91" spans="3:7" x14ac:dyDescent="0.2">
      <c r="C91" s="3">
        <v>88</v>
      </c>
      <c r="D91" s="37" t="str">
        <f t="shared" si="2"/>
        <v>PAC compacte</v>
      </c>
      <c r="E91" s="26" t="s">
        <v>97</v>
      </c>
      <c r="F91" s="26" t="s">
        <v>411</v>
      </c>
      <c r="G91" s="26" t="s">
        <v>250</v>
      </c>
    </row>
    <row r="92" spans="3:7" x14ac:dyDescent="0.2">
      <c r="C92" s="3">
        <v>89</v>
      </c>
      <c r="D92" s="37" t="str">
        <f t="shared" si="2"/>
        <v>PAC air-air</v>
      </c>
      <c r="E92" s="26" t="s">
        <v>98</v>
      </c>
      <c r="F92" s="26" t="s">
        <v>412</v>
      </c>
      <c r="G92" s="26" t="s">
        <v>251</v>
      </c>
    </row>
    <row r="93" spans="3:7" x14ac:dyDescent="0.2">
      <c r="C93" s="3">
        <v>90</v>
      </c>
      <c r="D93" s="37" t="str">
        <f t="shared" si="2"/>
        <v>Chauffage au mazout</v>
      </c>
      <c r="E93" s="26" t="s">
        <v>62</v>
      </c>
      <c r="F93" s="26" t="s">
        <v>413</v>
      </c>
      <c r="G93" s="26" t="s">
        <v>252</v>
      </c>
    </row>
    <row r="94" spans="3:7" x14ac:dyDescent="0.2">
      <c r="C94" s="3">
        <v>91</v>
      </c>
      <c r="D94" s="37" t="str">
        <f t="shared" si="2"/>
        <v>Chauffage aux pellets</v>
      </c>
      <c r="E94" s="26" t="s">
        <v>60</v>
      </c>
      <c r="F94" s="26" t="s">
        <v>414</v>
      </c>
      <c r="G94" s="26" t="s">
        <v>253</v>
      </c>
    </row>
    <row r="95" spans="3:7" x14ac:dyDescent="0.2">
      <c r="C95" s="3">
        <v>92</v>
      </c>
      <c r="D95" s="37" t="str">
        <f t="shared" si="2"/>
        <v>Énergie solaire thermique</v>
      </c>
      <c r="E95" s="26" t="s">
        <v>99</v>
      </c>
      <c r="F95" s="26" t="s">
        <v>415</v>
      </c>
      <c r="G95" s="26" t="s">
        <v>254</v>
      </c>
    </row>
    <row r="96" spans="3:7" x14ac:dyDescent="0.2">
      <c r="C96" s="3">
        <v>93</v>
      </c>
      <c r="D96" s="37" t="str">
        <f t="shared" si="2"/>
        <v>CCF</v>
      </c>
      <c r="E96" s="26" t="s">
        <v>100</v>
      </c>
      <c r="F96" s="26" t="s">
        <v>416</v>
      </c>
      <c r="G96" s="26" t="s">
        <v>255</v>
      </c>
    </row>
    <row r="97" spans="3:7" x14ac:dyDescent="0.2">
      <c r="C97" s="3">
        <v>94</v>
      </c>
      <c r="D97" s="37" t="str">
        <f t="shared" si="2"/>
        <v>renouvelable</v>
      </c>
      <c r="E97" s="26" t="s">
        <v>103</v>
      </c>
      <c r="F97" s="26" t="s">
        <v>417</v>
      </c>
      <c r="G97" s="26" t="s">
        <v>256</v>
      </c>
    </row>
    <row r="98" spans="3:7" x14ac:dyDescent="0.2">
      <c r="C98" s="3">
        <v>95</v>
      </c>
      <c r="D98" s="37" t="str">
        <f t="shared" si="2"/>
        <v>Autorisé dans le quartier Minergie ?</v>
      </c>
      <c r="E98" s="26" t="s">
        <v>101</v>
      </c>
      <c r="F98" s="26" t="s">
        <v>418</v>
      </c>
      <c r="G98" s="26" t="s">
        <v>257</v>
      </c>
    </row>
    <row r="99" spans="3:7" ht="24" x14ac:dyDescent="0.2">
      <c r="C99" s="3">
        <v>96</v>
      </c>
      <c r="D99" s="37" t="str">
        <f t="shared" si="2"/>
        <v>Tous les bâtiments ont-ils une production de chaleur renouvelable (sauf charge de pointe)?</v>
      </c>
      <c r="E99" s="26" t="s">
        <v>342</v>
      </c>
      <c r="F99" s="26" t="s">
        <v>485</v>
      </c>
      <c r="G99" s="26" t="s">
        <v>505</v>
      </c>
    </row>
    <row r="100" spans="3:7" x14ac:dyDescent="0.2">
      <c r="C100" s="3">
        <v>97</v>
      </c>
      <c r="D100" s="37" t="str">
        <f t="shared" ref="D100:D131" si="3">INDEX($E$4:$G$503,$C100,$A$1)</f>
        <v>Remarques sur l'outil d'aide</v>
      </c>
      <c r="E100" s="26" t="s">
        <v>106</v>
      </c>
      <c r="F100" s="26" t="s">
        <v>419</v>
      </c>
      <c r="G100" s="26" t="s">
        <v>258</v>
      </c>
    </row>
    <row r="101" spans="3:7" x14ac:dyDescent="0.2">
      <c r="C101" s="3">
        <v>98</v>
      </c>
      <c r="D101" s="37" t="str">
        <f t="shared" si="3"/>
        <v>non renouvelable</v>
      </c>
      <c r="E101" s="26" t="s">
        <v>104</v>
      </c>
      <c r="F101" s="26" t="s">
        <v>420</v>
      </c>
      <c r="G101" s="26" t="s">
        <v>259</v>
      </c>
    </row>
    <row r="102" spans="3:7" x14ac:dyDescent="0.2">
      <c r="C102" s="3">
        <v>99</v>
      </c>
      <c r="D102" s="37" t="str">
        <f t="shared" si="3"/>
        <v>Moyen</v>
      </c>
      <c r="E102" s="26" t="s">
        <v>161</v>
      </c>
      <c r="F102" s="26" t="s">
        <v>421</v>
      </c>
      <c r="G102" s="26" t="s">
        <v>260</v>
      </c>
    </row>
    <row r="103" spans="3:7" ht="108" x14ac:dyDescent="0.2">
      <c r="C103" s="3">
        <v>100</v>
      </c>
      <c r="D103" s="37" t="str">
        <f t="shared" si="3"/>
        <v>Toutes les saisies s'effectuent sur la feuille de calcul "Saisie". Les champs de saisie sont marqués en couleur en fonction du type de saisie (voir à droite).
Les indications relatives à la compensation possible entre indicateurs (ligne 61 et suivantes) ne peuvent être remplies qu'une fois les justificatifs des bâtiments individuels disponibles et ne sont pas obligatoires dans la certification provisoire.</v>
      </c>
      <c r="E103" s="26" t="s">
        <v>566</v>
      </c>
      <c r="F103" s="26" t="s">
        <v>567</v>
      </c>
      <c r="G103" s="26" t="s">
        <v>568</v>
      </c>
    </row>
    <row r="104" spans="3:7" x14ac:dyDescent="0.2">
      <c r="C104" s="3">
        <v>101</v>
      </c>
      <c r="D104" s="37" t="str">
        <f t="shared" si="3"/>
        <v>Feuille de calcul "Entrée"</v>
      </c>
      <c r="E104" s="26" t="s">
        <v>168</v>
      </c>
      <c r="F104" s="26" t="s">
        <v>422</v>
      </c>
      <c r="G104" s="26" t="s">
        <v>261</v>
      </c>
    </row>
    <row r="105" spans="3:7" x14ac:dyDescent="0.2">
      <c r="C105" s="3">
        <v>102</v>
      </c>
      <c r="D105" s="37" t="str">
        <f t="shared" si="3"/>
        <v>Feuille de calcul "Aperçu"</v>
      </c>
      <c r="E105" s="26" t="s">
        <v>169</v>
      </c>
      <c r="F105" s="26" t="s">
        <v>527</v>
      </c>
      <c r="G105" s="26" t="s">
        <v>262</v>
      </c>
    </row>
    <row r="106" spans="3:7" ht="48" x14ac:dyDescent="0.2">
      <c r="C106" s="3">
        <v>103</v>
      </c>
      <c r="D106" s="37" t="str">
        <f t="shared" si="3"/>
        <v>Tous les résultats sont disponibles sur la feuille "Aperçu". Pour la certification, la signature du management du quartier, respectivement du maître d'ouvrage, est nécessaire sur la feuille "Aperçu".</v>
      </c>
      <c r="E106" s="26" t="s">
        <v>107</v>
      </c>
      <c r="F106" s="26" t="s">
        <v>423</v>
      </c>
      <c r="G106" s="26" t="s">
        <v>263</v>
      </c>
    </row>
    <row r="107" spans="3:7" ht="24" x14ac:dyDescent="0.2">
      <c r="C107" s="3">
        <v>104</v>
      </c>
      <c r="D107" s="37" t="str">
        <f t="shared" si="3"/>
        <v>Catégorie de bâtiment (affectation principale) du bâtiment déconstruit</v>
      </c>
      <c r="E107" s="26" t="s">
        <v>108</v>
      </c>
      <c r="F107" s="26" t="s">
        <v>424</v>
      </c>
      <c r="G107" s="26" t="s">
        <v>264</v>
      </c>
    </row>
    <row r="108" spans="3:7" x14ac:dyDescent="0.2">
      <c r="C108" s="3">
        <v>105</v>
      </c>
      <c r="D108" s="37" t="str">
        <f t="shared" si="3"/>
        <v>Moyenne</v>
      </c>
      <c r="E108" s="26" t="s">
        <v>160</v>
      </c>
      <c r="F108" s="26" t="s">
        <v>425</v>
      </c>
      <c r="G108" s="26" t="s">
        <v>265</v>
      </c>
    </row>
    <row r="109" spans="3:7" x14ac:dyDescent="0.2">
      <c r="C109" s="3">
        <v>106</v>
      </c>
      <c r="D109" s="37" t="str">
        <f t="shared" si="3"/>
        <v>Nouvelle construction</v>
      </c>
      <c r="E109" s="26" t="s">
        <v>115</v>
      </c>
      <c r="F109" s="26" t="s">
        <v>426</v>
      </c>
      <c r="G109" s="26" t="s">
        <v>266</v>
      </c>
    </row>
    <row r="110" spans="3:7" x14ac:dyDescent="0.2">
      <c r="C110" s="3">
        <v>107</v>
      </c>
      <c r="D110" s="37" t="str">
        <f t="shared" si="3"/>
        <v>Oui</v>
      </c>
      <c r="E110" s="26" t="s">
        <v>116</v>
      </c>
      <c r="F110" s="26" t="s">
        <v>427</v>
      </c>
      <c r="G110" s="26" t="s">
        <v>267</v>
      </c>
    </row>
    <row r="111" spans="3:7" x14ac:dyDescent="0.2">
      <c r="C111" s="3">
        <v>108</v>
      </c>
      <c r="D111" s="37" t="str">
        <f t="shared" si="3"/>
        <v>Non</v>
      </c>
      <c r="E111" s="26" t="s">
        <v>117</v>
      </c>
      <c r="F111" s="26" t="s">
        <v>428</v>
      </c>
      <c r="G111" s="26" t="s">
        <v>268</v>
      </c>
    </row>
    <row r="112" spans="3:7" x14ac:dyDescent="0.2">
      <c r="C112" s="3">
        <v>109</v>
      </c>
      <c r="D112" s="37" t="str">
        <f t="shared" si="3"/>
        <v>Surface de plancher</v>
      </c>
      <c r="E112" s="26" t="s">
        <v>118</v>
      </c>
      <c r="F112" s="26" t="s">
        <v>533</v>
      </c>
      <c r="G112" s="26" t="s">
        <v>269</v>
      </c>
    </row>
    <row r="113" spans="3:7" x14ac:dyDescent="0.2">
      <c r="C113" s="3">
        <v>110</v>
      </c>
      <c r="D113" s="37" t="str">
        <f t="shared" si="3"/>
        <v>Surface des capteurs solaires thermiques</v>
      </c>
      <c r="E113" s="26" t="s">
        <v>119</v>
      </c>
      <c r="F113" s="26" t="s">
        <v>429</v>
      </c>
      <c r="G113" s="26" t="s">
        <v>270</v>
      </c>
    </row>
    <row r="114" spans="3:7" x14ac:dyDescent="0.2">
      <c r="C114" s="3">
        <v>111</v>
      </c>
      <c r="D114" s="37" t="str">
        <f t="shared" si="3"/>
        <v>Suppléments et déductions bâtiment entier</v>
      </c>
      <c r="E114" s="26" t="s">
        <v>158</v>
      </c>
      <c r="F114" s="26" t="s">
        <v>430</v>
      </c>
      <c r="G114" s="26" t="s">
        <v>271</v>
      </c>
    </row>
    <row r="115" spans="3:7" x14ac:dyDescent="0.2">
      <c r="C115" s="3">
        <v>112</v>
      </c>
      <c r="D115" s="37" t="str">
        <f t="shared" si="3"/>
        <v>Installation PV</v>
      </c>
      <c r="E115" s="26" t="s">
        <v>120</v>
      </c>
      <c r="F115" s="26" t="s">
        <v>431</v>
      </c>
      <c r="G115" s="26" t="s">
        <v>272</v>
      </c>
    </row>
    <row r="116" spans="3:7" x14ac:dyDescent="0.2">
      <c r="C116" s="3">
        <v>113</v>
      </c>
      <c r="D116" s="37" t="str">
        <f t="shared" si="3"/>
        <v>Capteurs solaires thermiques</v>
      </c>
      <c r="E116" s="26" t="s">
        <v>121</v>
      </c>
      <c r="F116" s="26" t="s">
        <v>432</v>
      </c>
      <c r="G116" s="26" t="s">
        <v>273</v>
      </c>
    </row>
    <row r="117" spans="3:7" x14ac:dyDescent="0.2">
      <c r="C117" s="3">
        <v>114</v>
      </c>
      <c r="D117" s="37" t="str">
        <f t="shared" si="3"/>
        <v>Sonde géothermique</v>
      </c>
      <c r="E117" s="26" t="s">
        <v>122</v>
      </c>
      <c r="F117" s="26" t="s">
        <v>433</v>
      </c>
      <c r="G117" s="26" t="s">
        <v>274</v>
      </c>
    </row>
    <row r="118" spans="3:7" x14ac:dyDescent="0.2">
      <c r="C118" s="3">
        <v>115</v>
      </c>
      <c r="D118" s="37" t="str">
        <f t="shared" si="3"/>
        <v>total</v>
      </c>
      <c r="E118" s="26" t="s">
        <v>126</v>
      </c>
      <c r="F118" s="26" t="s">
        <v>126</v>
      </c>
      <c r="G118" s="26" t="s">
        <v>275</v>
      </c>
    </row>
    <row r="119" spans="3:7" x14ac:dyDescent="0.2">
      <c r="C119" s="3">
        <v>116</v>
      </c>
      <c r="D119" s="37" t="str">
        <f t="shared" si="3"/>
        <v>Limite de base EGES SRE</v>
      </c>
      <c r="E119" s="26" t="s">
        <v>127</v>
      </c>
      <c r="F119" s="26" t="s">
        <v>434</v>
      </c>
      <c r="G119" s="26" t="s">
        <v>276</v>
      </c>
    </row>
    <row r="120" spans="3:7" x14ac:dyDescent="0.2">
      <c r="C120" s="3">
        <v>117</v>
      </c>
      <c r="D120" s="37" t="str">
        <f t="shared" si="3"/>
        <v>Limite de base EGES SP-SRE</v>
      </c>
      <c r="E120" s="26" t="s">
        <v>128</v>
      </c>
      <c r="F120" s="26" t="s">
        <v>435</v>
      </c>
      <c r="G120" s="26" t="s">
        <v>277</v>
      </c>
    </row>
    <row r="121" spans="3:7" x14ac:dyDescent="0.2">
      <c r="C121" s="3">
        <v>118</v>
      </c>
      <c r="D121" s="37" t="str">
        <f t="shared" si="3"/>
        <v>Supplément</v>
      </c>
      <c r="E121" s="26" t="s">
        <v>157</v>
      </c>
      <c r="F121" s="26" t="s">
        <v>436</v>
      </c>
      <c r="G121" s="26" t="s">
        <v>278</v>
      </c>
    </row>
    <row r="122" spans="3:7" x14ac:dyDescent="0.2">
      <c r="C122" s="3">
        <v>119</v>
      </c>
      <c r="D122" s="37" t="str">
        <f t="shared" si="3"/>
        <v>Un bâtiment existant est-il déconstruit ?</v>
      </c>
      <c r="E122" s="26" t="s">
        <v>171</v>
      </c>
      <c r="F122" s="26" t="s">
        <v>437</v>
      </c>
      <c r="G122" s="26" t="s">
        <v>279</v>
      </c>
    </row>
    <row r="123" spans="3:7" x14ac:dyDescent="0.2">
      <c r="C123" s="3">
        <v>120</v>
      </c>
      <c r="D123" s="37" t="str">
        <f t="shared" si="3"/>
        <v>Pas de nouvelles constructions (de remplacement)</v>
      </c>
      <c r="E123" s="26" t="s">
        <v>110</v>
      </c>
      <c r="F123" s="26" t="s">
        <v>438</v>
      </c>
      <c r="G123" s="26" t="s">
        <v>280</v>
      </c>
    </row>
    <row r="124" spans="3:7" x14ac:dyDescent="0.2">
      <c r="C124" s="3">
        <v>121</v>
      </c>
      <c r="D124" s="37" t="str">
        <f t="shared" si="3"/>
        <v>SRE prise en compte</v>
      </c>
      <c r="E124" s="26" t="s">
        <v>67</v>
      </c>
      <c r="F124" s="26" t="s">
        <v>439</v>
      </c>
      <c r="G124" s="26" t="s">
        <v>281</v>
      </c>
    </row>
    <row r="125" spans="3:7" ht="24" x14ac:dyDescent="0.2">
      <c r="C125" s="3">
        <v>122</v>
      </c>
      <c r="D125" s="37" t="str">
        <f t="shared" si="3"/>
        <v>Insérer d'autres bâtiments avec le + dans l'intitulé de la colonne</v>
      </c>
      <c r="E125" s="26" t="s">
        <v>112</v>
      </c>
      <c r="F125" s="26" t="s">
        <v>440</v>
      </c>
      <c r="G125" s="26" t="s">
        <v>282</v>
      </c>
    </row>
    <row r="126" spans="3:7" ht="24" x14ac:dyDescent="0.2">
      <c r="C126" s="3">
        <v>123</v>
      </c>
      <c r="D126" s="37" t="str">
        <f t="shared" si="3"/>
        <v>Qh et MKZ sont-ils compensés entre les bâtiments Minergie ?</v>
      </c>
      <c r="E126" s="26" t="s">
        <v>75</v>
      </c>
      <c r="F126" s="26" t="s">
        <v>441</v>
      </c>
      <c r="G126" s="26" t="s">
        <v>283</v>
      </c>
    </row>
    <row r="127" spans="3:7" ht="24" x14ac:dyDescent="0.2">
      <c r="C127" s="3">
        <v>124</v>
      </c>
      <c r="D127" s="37" t="str">
        <f t="shared" si="3"/>
        <v>Report du justificatif énergétique du bâtiment (obligatoire en cas de compensation)</v>
      </c>
      <c r="E127" s="26" t="s">
        <v>72</v>
      </c>
      <c r="F127" s="26" t="s">
        <v>442</v>
      </c>
      <c r="G127" s="26" t="s">
        <v>284</v>
      </c>
    </row>
    <row r="128" spans="3:7" x14ac:dyDescent="0.2">
      <c r="C128" s="3">
        <v>125</v>
      </c>
      <c r="D128" s="37" t="str">
        <f t="shared" si="3"/>
        <v>Pas de rénovation (aucune raison)</v>
      </c>
      <c r="E128" s="26" t="s">
        <v>553</v>
      </c>
      <c r="F128" s="336" t="s">
        <v>576</v>
      </c>
      <c r="G128" s="336" t="s">
        <v>577</v>
      </c>
    </row>
    <row r="129" spans="3:7" x14ac:dyDescent="0.2">
      <c r="C129" s="3">
        <v>126</v>
      </c>
      <c r="D129" s="37" t="str">
        <f t="shared" si="3"/>
        <v>Efficacité solaire thermique / PV</v>
      </c>
      <c r="E129" s="26" t="s">
        <v>340</v>
      </c>
      <c r="F129" s="26" t="s">
        <v>486</v>
      </c>
      <c r="G129" s="26" t="s">
        <v>506</v>
      </c>
    </row>
    <row r="130" spans="3:7" x14ac:dyDescent="0.2">
      <c r="C130" s="3">
        <v>127</v>
      </c>
      <c r="D130" s="37" t="str">
        <f t="shared" si="3"/>
        <v>ID du bâtiment selon la Plateforme-Label</v>
      </c>
      <c r="E130" s="26" t="s">
        <v>547</v>
      </c>
      <c r="F130" s="26" t="s">
        <v>548</v>
      </c>
      <c r="G130" s="26" t="s">
        <v>565</v>
      </c>
    </row>
    <row r="131" spans="3:7" x14ac:dyDescent="0.2">
      <c r="C131" s="3">
        <v>128</v>
      </c>
      <c r="D131" s="37" t="str">
        <f t="shared" si="3"/>
        <v>Entrée</v>
      </c>
      <c r="E131" s="26" t="s">
        <v>170</v>
      </c>
      <c r="F131" s="26" t="s">
        <v>443</v>
      </c>
      <c r="G131" s="26" t="s">
        <v>286</v>
      </c>
    </row>
    <row r="132" spans="3:7" x14ac:dyDescent="0.2">
      <c r="C132" s="3">
        <v>129</v>
      </c>
      <c r="D132" s="37" t="str">
        <f t="shared" ref="D132:D163" si="4">INDEX($E$4:$G$503,$C132,$A$1)</f>
        <v>Nouvelles constructions Minergie</v>
      </c>
      <c r="E132" s="26" t="s">
        <v>163</v>
      </c>
      <c r="F132" s="26" t="s">
        <v>444</v>
      </c>
      <c r="G132" s="26" t="s">
        <v>287</v>
      </c>
    </row>
    <row r="133" spans="3:7" x14ac:dyDescent="0.2">
      <c r="C133" s="3">
        <v>130</v>
      </c>
      <c r="D133" s="37" t="str">
        <f t="shared" si="4"/>
        <v>C1.4 Utilisation de l'énergie solaire</v>
      </c>
      <c r="E133" s="26" t="s">
        <v>76</v>
      </c>
      <c r="F133" s="26" t="s">
        <v>445</v>
      </c>
      <c r="G133" s="26" t="s">
        <v>288</v>
      </c>
    </row>
    <row r="134" spans="3:7" x14ac:dyDescent="0.2">
      <c r="C134" s="3">
        <v>131</v>
      </c>
      <c r="D134" s="37" t="str">
        <f t="shared" si="4"/>
        <v>C2.1 EGES gris</v>
      </c>
      <c r="E134" s="26" t="s">
        <v>77</v>
      </c>
      <c r="F134" s="26" t="s">
        <v>446</v>
      </c>
      <c r="G134" s="26" t="s">
        <v>289</v>
      </c>
    </row>
    <row r="135" spans="3:7" ht="24" x14ac:dyDescent="0.2">
      <c r="C135" s="3">
        <v>132</v>
      </c>
      <c r="D135" s="37" t="str">
        <f t="shared" si="4"/>
        <v>Part des bâtiments existants avec dérogation</v>
      </c>
      <c r="E135" s="26" t="s">
        <v>155</v>
      </c>
      <c r="F135" s="26" t="s">
        <v>447</v>
      </c>
      <c r="G135" s="26" t="s">
        <v>290</v>
      </c>
    </row>
    <row r="136" spans="3:7" ht="24" x14ac:dyDescent="0.2">
      <c r="C136" s="3">
        <v>133</v>
      </c>
      <c r="D136" s="37" t="str">
        <f t="shared" si="4"/>
        <v>Respect des exigences Minergie-Quartier Thèmes A et C</v>
      </c>
      <c r="E136" s="26" t="s">
        <v>111</v>
      </c>
      <c r="F136" s="26" t="s">
        <v>448</v>
      </c>
      <c r="G136" s="26" t="s">
        <v>291</v>
      </c>
    </row>
    <row r="137" spans="3:7" ht="24" x14ac:dyDescent="0.2">
      <c r="C137" s="3">
        <v>134</v>
      </c>
      <c r="D137" s="37" t="str">
        <f t="shared" si="4"/>
        <v>Respect des exigences en cas de compensation entre bâtiments Minergie</v>
      </c>
      <c r="E137" s="26" t="s">
        <v>78</v>
      </c>
      <c r="F137" s="26" t="s">
        <v>449</v>
      </c>
      <c r="G137" s="26" t="s">
        <v>292</v>
      </c>
    </row>
    <row r="138" spans="3:7" x14ac:dyDescent="0.2">
      <c r="C138" s="3">
        <v>135</v>
      </c>
      <c r="D138" s="37" t="str">
        <f t="shared" si="4"/>
        <v>Le total des SRE par zone doit donner 100%</v>
      </c>
      <c r="E138" s="26" t="s">
        <v>334</v>
      </c>
      <c r="F138" s="26" t="s">
        <v>487</v>
      </c>
      <c r="G138" s="26" t="s">
        <v>507</v>
      </c>
    </row>
    <row r="139" spans="3:7" x14ac:dyDescent="0.2">
      <c r="C139" s="3">
        <v>136</v>
      </c>
      <c r="D139" s="37" t="str">
        <f t="shared" si="4"/>
        <v>Entrée manquante</v>
      </c>
      <c r="E139" s="26" t="s">
        <v>138</v>
      </c>
      <c r="F139" s="26" t="s">
        <v>450</v>
      </c>
      <c r="G139" s="26" t="s">
        <v>293</v>
      </c>
    </row>
    <row r="140" spans="3:7" x14ac:dyDescent="0.2">
      <c r="C140" s="3">
        <v>137</v>
      </c>
      <c r="D140" s="37" t="str">
        <f t="shared" si="4"/>
        <v>Exigences Minergie-Quartier</v>
      </c>
      <c r="E140" s="26" t="s">
        <v>79</v>
      </c>
      <c r="F140" s="26" t="s">
        <v>451</v>
      </c>
      <c r="G140" s="26" t="s">
        <v>294</v>
      </c>
    </row>
    <row r="141" spans="3:7" x14ac:dyDescent="0.2">
      <c r="C141" s="3">
        <v>138</v>
      </c>
      <c r="D141" s="37" t="str">
        <f t="shared" si="4"/>
        <v>Liste</v>
      </c>
      <c r="E141" s="26" t="s">
        <v>80</v>
      </c>
      <c r="F141" s="26" t="s">
        <v>80</v>
      </c>
      <c r="G141" s="26" t="s">
        <v>295</v>
      </c>
    </row>
    <row r="142" spans="3:7" x14ac:dyDescent="0.2">
      <c r="C142" s="3">
        <v>139</v>
      </c>
      <c r="D142" s="37" t="str">
        <f t="shared" si="4"/>
        <v>Compensation</v>
      </c>
      <c r="E142" s="26" t="s">
        <v>137</v>
      </c>
      <c r="F142" s="26" t="s">
        <v>452</v>
      </c>
      <c r="G142" s="26" t="s">
        <v>296</v>
      </c>
    </row>
    <row r="143" spans="3:7" x14ac:dyDescent="0.2">
      <c r="C143" s="3">
        <v>140</v>
      </c>
      <c r="D143" s="37" t="str">
        <f t="shared" si="4"/>
        <v>Modèle de rénovation Minergie</v>
      </c>
      <c r="E143" s="26" t="s">
        <v>55</v>
      </c>
      <c r="F143" s="26" t="s">
        <v>453</v>
      </c>
      <c r="G143" s="26" t="s">
        <v>297</v>
      </c>
    </row>
    <row r="144" spans="3:7" x14ac:dyDescent="0.2">
      <c r="C144" s="3">
        <v>141</v>
      </c>
      <c r="D144" s="37" t="str">
        <f t="shared" si="4"/>
        <v>Pas de bâtiments Minergie-A(-ECO)</v>
      </c>
      <c r="E144" s="26" t="s">
        <v>81</v>
      </c>
      <c r="F144" s="26" t="s">
        <v>454</v>
      </c>
      <c r="G144" s="26" t="s">
        <v>298</v>
      </c>
    </row>
    <row r="145" spans="3:7" x14ac:dyDescent="0.2">
      <c r="C145" s="3">
        <v>142</v>
      </c>
      <c r="D145" s="37" t="str">
        <f t="shared" si="4"/>
        <v>Pas de bâtiments Minergie-P(-ECO)</v>
      </c>
      <c r="E145" s="26" t="s">
        <v>82</v>
      </c>
      <c r="F145" s="26" t="s">
        <v>455</v>
      </c>
      <c r="G145" s="26" t="s">
        <v>299</v>
      </c>
    </row>
    <row r="146" spans="3:7" ht="24" x14ac:dyDescent="0.2">
      <c r="C146" s="3">
        <v>143</v>
      </c>
      <c r="D146" s="37" t="str">
        <f t="shared" si="4"/>
        <v>Rénovations Minergie (y compris avec modèle de rénovation minergie)</v>
      </c>
      <c r="E146" s="26" t="s">
        <v>164</v>
      </c>
      <c r="F146" s="26" t="s">
        <v>456</v>
      </c>
      <c r="G146" s="26" t="s">
        <v>508</v>
      </c>
    </row>
    <row r="147" spans="3:7" x14ac:dyDescent="0.2">
      <c r="C147" s="3">
        <v>144</v>
      </c>
      <c r="D147" s="37" t="str">
        <f t="shared" si="4"/>
        <v>Numéro de certificat</v>
      </c>
      <c r="E147" s="26" t="s">
        <v>109</v>
      </c>
      <c r="F147" s="26" t="s">
        <v>457</v>
      </c>
      <c r="G147" s="26" t="s">
        <v>300</v>
      </c>
    </row>
    <row r="148" spans="3:7" ht="36" x14ac:dyDescent="0.2">
      <c r="C148" s="3">
        <v>145</v>
      </c>
      <c r="D148" s="37" t="str">
        <f t="shared" si="4"/>
        <v>Le maître d'ouvrage / le management du quartier confirme que les informations fournies dans le présent outil d'aide sont correctes.</v>
      </c>
      <c r="E148" s="26" t="s">
        <v>87</v>
      </c>
      <c r="F148" s="26" t="s">
        <v>458</v>
      </c>
      <c r="G148" s="26" t="s">
        <v>301</v>
      </c>
    </row>
    <row r="149" spans="3:7" x14ac:dyDescent="0.2">
      <c r="C149" s="3">
        <v>146</v>
      </c>
      <c r="D149" s="37" t="str">
        <f t="shared" si="4"/>
        <v>Signature</v>
      </c>
      <c r="E149" s="26" t="s">
        <v>83</v>
      </c>
      <c r="F149" s="26" t="s">
        <v>459</v>
      </c>
      <c r="G149" s="26" t="s">
        <v>302</v>
      </c>
    </row>
    <row r="150" spans="3:7" x14ac:dyDescent="0.2">
      <c r="C150" s="3">
        <v>147</v>
      </c>
      <c r="D150" s="37" t="str">
        <f t="shared" si="4"/>
        <v>Lieu</v>
      </c>
      <c r="E150" s="26" t="s">
        <v>84</v>
      </c>
      <c r="F150" s="26" t="s">
        <v>460</v>
      </c>
      <c r="G150" s="26" t="s">
        <v>303</v>
      </c>
    </row>
    <row r="151" spans="3:7" x14ac:dyDescent="0.2">
      <c r="C151" s="3">
        <v>148</v>
      </c>
      <c r="D151" s="37" t="str">
        <f t="shared" si="4"/>
        <v>Date</v>
      </c>
      <c r="E151" s="26" t="s">
        <v>85</v>
      </c>
      <c r="F151" s="26" t="s">
        <v>461</v>
      </c>
      <c r="G151" s="26" t="s">
        <v>304</v>
      </c>
    </row>
    <row r="152" spans="3:7" x14ac:dyDescent="0.2">
      <c r="C152" s="3">
        <v>149</v>
      </c>
      <c r="D152" s="37" t="str">
        <f t="shared" si="4"/>
        <v>Nom et prénom</v>
      </c>
      <c r="E152" s="26" t="s">
        <v>86</v>
      </c>
      <c r="F152" s="26" t="s">
        <v>462</v>
      </c>
      <c r="G152" s="26" t="s">
        <v>305</v>
      </c>
    </row>
    <row r="153" spans="3:7" ht="24" x14ac:dyDescent="0.2">
      <c r="C153" s="3">
        <v>150</v>
      </c>
      <c r="D153" s="37" t="str">
        <f t="shared" si="4"/>
        <v>Pas de bâtiments existants avec dérogation</v>
      </c>
      <c r="E153" s="26" t="s">
        <v>105</v>
      </c>
      <c r="F153" s="26" t="s">
        <v>463</v>
      </c>
      <c r="G153" s="26" t="s">
        <v>306</v>
      </c>
    </row>
    <row r="154" spans="3:7" x14ac:dyDescent="0.2">
      <c r="C154" s="3">
        <v>151</v>
      </c>
      <c r="D154" s="37" t="str">
        <f t="shared" si="4"/>
        <v>chaud</v>
      </c>
      <c r="E154" s="26" t="s">
        <v>143</v>
      </c>
      <c r="F154" s="26" t="s">
        <v>464</v>
      </c>
      <c r="G154" s="26" t="s">
        <v>307</v>
      </c>
    </row>
    <row r="155" spans="3:7" x14ac:dyDescent="0.2">
      <c r="C155" s="3">
        <v>152</v>
      </c>
      <c r="D155" s="37" t="str">
        <f t="shared" si="4"/>
        <v>froid</v>
      </c>
      <c r="E155" s="26" t="s">
        <v>144</v>
      </c>
      <c r="F155" s="26" t="s">
        <v>465</v>
      </c>
      <c r="G155" s="26" t="s">
        <v>308</v>
      </c>
    </row>
    <row r="156" spans="3:7" ht="24" x14ac:dyDescent="0.2">
      <c r="C156" s="3">
        <v>153</v>
      </c>
      <c r="D156" s="37" t="str">
        <f t="shared" si="4"/>
        <v>Données pour les nouvelles constructions Minergie</v>
      </c>
      <c r="E156" s="26" t="s">
        <v>550</v>
      </c>
      <c r="F156" s="26" t="s">
        <v>551</v>
      </c>
      <c r="G156" s="26" t="s">
        <v>552</v>
      </c>
    </row>
    <row r="157" spans="3:7" x14ac:dyDescent="0.2">
      <c r="C157" s="3">
        <v>154</v>
      </c>
      <c r="D157" s="37" t="str">
        <f t="shared" si="4"/>
        <v>Bâtiments existants</v>
      </c>
      <c r="E157" s="26" t="s">
        <v>139</v>
      </c>
      <c r="F157" s="26" t="s">
        <v>466</v>
      </c>
      <c r="G157" s="26" t="s">
        <v>309</v>
      </c>
    </row>
    <row r="158" spans="3:7" x14ac:dyDescent="0.2">
      <c r="C158" s="3">
        <v>155</v>
      </c>
      <c r="D158" s="37" t="str">
        <f t="shared" si="4"/>
        <v>Calculs</v>
      </c>
      <c r="E158" s="26" t="s">
        <v>140</v>
      </c>
      <c r="F158" s="26" t="s">
        <v>467</v>
      </c>
      <c r="G158" s="26" t="s">
        <v>310</v>
      </c>
    </row>
    <row r="159" spans="3:7" x14ac:dyDescent="0.2">
      <c r="C159" s="3">
        <v>156</v>
      </c>
      <c r="D159" s="37" t="str">
        <f t="shared" si="4"/>
        <v>SRE</v>
      </c>
      <c r="E159" s="26" t="s">
        <v>130</v>
      </c>
      <c r="F159" s="26" t="s">
        <v>468</v>
      </c>
      <c r="G159" s="26" t="s">
        <v>311</v>
      </c>
    </row>
    <row r="160" spans="3:7" x14ac:dyDescent="0.2">
      <c r="C160" s="3">
        <v>157</v>
      </c>
      <c r="D160" s="37" t="str">
        <f t="shared" si="4"/>
        <v>SP - SRE</v>
      </c>
      <c r="E160" s="316" t="s">
        <v>142</v>
      </c>
      <c r="F160" s="26" t="s">
        <v>469</v>
      </c>
      <c r="G160" s="26" t="s">
        <v>312</v>
      </c>
    </row>
    <row r="161" spans="3:7" ht="24" x14ac:dyDescent="0.2">
      <c r="C161" s="3">
        <v>158</v>
      </c>
      <c r="D161" s="37" t="str">
        <f t="shared" si="4"/>
        <v>Données pour les bâtiments existants avec dérogation</v>
      </c>
      <c r="E161" s="26" t="s">
        <v>147</v>
      </c>
      <c r="F161" s="26" t="s">
        <v>470</v>
      </c>
      <c r="G161" s="26" t="s">
        <v>313</v>
      </c>
    </row>
    <row r="162" spans="3:7" x14ac:dyDescent="0.2">
      <c r="C162" s="3">
        <v>159</v>
      </c>
      <c r="D162" s="37" t="str">
        <f t="shared" si="4"/>
        <v>Emissions grises</v>
      </c>
      <c r="E162" s="26" t="s">
        <v>148</v>
      </c>
      <c r="F162" s="26" t="s">
        <v>529</v>
      </c>
      <c r="G162" s="26" t="s">
        <v>314</v>
      </c>
    </row>
    <row r="163" spans="3:7" x14ac:dyDescent="0.2">
      <c r="C163" s="3">
        <v>160</v>
      </c>
      <c r="D163" s="37" t="str">
        <f t="shared" si="4"/>
        <v>Champ de saisie (facultatif)</v>
      </c>
      <c r="E163" s="26" t="s">
        <v>135</v>
      </c>
      <c r="F163" s="26" t="s">
        <v>471</v>
      </c>
      <c r="G163" s="26" t="s">
        <v>315</v>
      </c>
    </row>
    <row r="164" spans="3:7" x14ac:dyDescent="0.2">
      <c r="C164" s="3">
        <v>161</v>
      </c>
      <c r="D164" s="37" t="str">
        <f t="shared" ref="D164:D208" si="5">INDEX($E$4:$G$503,$C164,$A$1)</f>
        <v>Valeur par défaut</v>
      </c>
      <c r="E164" s="26" t="s">
        <v>151</v>
      </c>
      <c r="F164" s="26" t="s">
        <v>472</v>
      </c>
      <c r="G164" s="26" t="s">
        <v>316</v>
      </c>
    </row>
    <row r="165" spans="3:7" x14ac:dyDescent="0.2">
      <c r="C165" s="3">
        <v>162</v>
      </c>
      <c r="D165" s="37" t="str">
        <f t="shared" si="5"/>
        <v>Remplacer la valeur par défaut</v>
      </c>
      <c r="E165" s="26" t="s">
        <v>152</v>
      </c>
      <c r="F165" s="26" t="s">
        <v>473</v>
      </c>
      <c r="G165" s="26" t="s">
        <v>317</v>
      </c>
    </row>
    <row r="166" spans="3:7" x14ac:dyDescent="0.2">
      <c r="C166" s="3">
        <v>163</v>
      </c>
      <c r="D166" s="37" t="str">
        <f t="shared" si="5"/>
        <v>kgCO2eq/m2 SRE Nouvelle construction</v>
      </c>
      <c r="E166" s="26" t="s">
        <v>182</v>
      </c>
      <c r="F166" s="26" t="s">
        <v>474</v>
      </c>
      <c r="G166" s="26" t="s">
        <v>318</v>
      </c>
    </row>
    <row r="167" spans="3:7" x14ac:dyDescent="0.2">
      <c r="C167" s="3">
        <v>164</v>
      </c>
      <c r="D167" s="37" t="str">
        <f t="shared" si="5"/>
        <v>Supplémentaires</v>
      </c>
      <c r="E167" s="26" t="s">
        <v>153</v>
      </c>
      <c r="F167" s="26" t="s">
        <v>475</v>
      </c>
      <c r="G167" s="26" t="s">
        <v>319</v>
      </c>
    </row>
    <row r="168" spans="3:7" x14ac:dyDescent="0.2">
      <c r="C168" s="3">
        <v>165</v>
      </c>
      <c r="D168" s="37" t="str">
        <f t="shared" si="5"/>
        <v>A1.1 Certification Minergie (-P/-A/-ECO)</v>
      </c>
      <c r="E168" s="26" t="s">
        <v>154</v>
      </c>
      <c r="F168" s="26" t="s">
        <v>476</v>
      </c>
      <c r="G168" s="26" t="s">
        <v>320</v>
      </c>
    </row>
    <row r="169" spans="3:7" x14ac:dyDescent="0.2">
      <c r="C169" s="3">
        <v>166</v>
      </c>
      <c r="D169" s="37" t="str">
        <f t="shared" si="5"/>
        <v>C1.1 Énergie d'exploitation</v>
      </c>
      <c r="E169" s="26" t="s">
        <v>102</v>
      </c>
      <c r="F169" s="26" t="s">
        <v>477</v>
      </c>
      <c r="G169" s="26" t="s">
        <v>321</v>
      </c>
    </row>
    <row r="170" spans="3:7" x14ac:dyDescent="0.2">
      <c r="C170" s="3">
        <v>167</v>
      </c>
      <c r="D170" s="37" t="str">
        <f t="shared" si="5"/>
        <v>Commentaires / remarques</v>
      </c>
      <c r="E170" s="26" t="s">
        <v>165</v>
      </c>
      <c r="F170" s="26" t="s">
        <v>478</v>
      </c>
      <c r="G170" s="26" t="s">
        <v>322</v>
      </c>
    </row>
    <row r="171" spans="3:7" x14ac:dyDescent="0.2">
      <c r="C171" s="3">
        <v>168</v>
      </c>
      <c r="D171" s="37" t="str">
        <f t="shared" si="5"/>
        <v>de toutes les nouvelles constructions et rénovations</v>
      </c>
      <c r="E171" s="26" t="s">
        <v>166</v>
      </c>
      <c r="F171" s="26" t="s">
        <v>479</v>
      </c>
      <c r="G171" s="26" t="s">
        <v>509</v>
      </c>
    </row>
    <row r="172" spans="3:7" x14ac:dyDescent="0.2">
      <c r="C172" s="3">
        <v>169</v>
      </c>
      <c r="D172" s="37" t="str">
        <f t="shared" si="5"/>
        <v>de toutes les nouvelles constructions</v>
      </c>
      <c r="E172" s="26" t="s">
        <v>167</v>
      </c>
      <c r="F172" s="26" t="s">
        <v>480</v>
      </c>
      <c r="G172" s="26" t="s">
        <v>323</v>
      </c>
    </row>
    <row r="173" spans="3:7" ht="24" x14ac:dyDescent="0.2">
      <c r="C173" s="3">
        <v>170</v>
      </c>
      <c r="D173" s="37" t="str">
        <f t="shared" si="5"/>
        <v>Données relatives à la déconstruction des bâtiments existants</v>
      </c>
      <c r="E173" s="26" t="s">
        <v>172</v>
      </c>
      <c r="F173" s="26" t="s">
        <v>481</v>
      </c>
      <c r="G173" s="26" t="s">
        <v>324</v>
      </c>
    </row>
    <row r="174" spans="3:7" x14ac:dyDescent="0.2">
      <c r="C174" s="3">
        <v>171</v>
      </c>
      <c r="D174" s="37" t="str">
        <f t="shared" si="5"/>
        <v>Données relatives aux nouvelles constructions</v>
      </c>
      <c r="E174" s="26" t="s">
        <v>173</v>
      </c>
      <c r="F174" s="26" t="s">
        <v>482</v>
      </c>
      <c r="G174" s="26" t="s">
        <v>325</v>
      </c>
    </row>
    <row r="175" spans="3:7" ht="24" x14ac:dyDescent="0.2">
      <c r="C175" s="3">
        <v>172</v>
      </c>
      <c r="D175" s="37" t="str">
        <f t="shared" si="5"/>
        <v>Surfaces de référence énergétique SRE par catégorie de bâtiment</v>
      </c>
      <c r="E175" s="26" t="s">
        <v>174</v>
      </c>
      <c r="F175" s="26" t="s">
        <v>483</v>
      </c>
      <c r="G175" s="26" t="s">
        <v>326</v>
      </c>
    </row>
    <row r="176" spans="3:7" ht="24" x14ac:dyDescent="0.2">
      <c r="C176" s="3">
        <v>173</v>
      </c>
      <c r="D176" s="37" t="str">
        <f t="shared" si="5"/>
        <v>Bâtiments existants : catégorie de bâtiment (affectation principale)</v>
      </c>
      <c r="E176" s="26" t="s">
        <v>591</v>
      </c>
      <c r="F176" s="26" t="s">
        <v>593</v>
      </c>
      <c r="G176" s="26" t="s">
        <v>592</v>
      </c>
    </row>
    <row r="177" spans="3:7" x14ac:dyDescent="0.2">
      <c r="C177" s="3">
        <v>174</v>
      </c>
      <c r="D177" s="37" t="str">
        <f t="shared" si="5"/>
        <v>Habitation</v>
      </c>
      <c r="E177" s="26" t="s">
        <v>175</v>
      </c>
      <c r="F177" s="26" t="s">
        <v>528</v>
      </c>
      <c r="G177" s="26" t="s">
        <v>327</v>
      </c>
    </row>
    <row r="178" spans="3:7" ht="24" x14ac:dyDescent="0.2">
      <c r="C178" s="3">
        <v>175</v>
      </c>
      <c r="D178" s="37" t="str">
        <f t="shared" si="5"/>
        <v>Attention : la somme diffère du total de la SRE. Veuillez vérifier votre saisie.</v>
      </c>
      <c r="E178" s="26" t="s">
        <v>177</v>
      </c>
      <c r="F178" s="26" t="s">
        <v>484</v>
      </c>
      <c r="G178" s="26" t="s">
        <v>328</v>
      </c>
    </row>
    <row r="179" spans="3:7" ht="24" x14ac:dyDescent="0.2">
      <c r="C179" s="3">
        <v>176</v>
      </c>
      <c r="D179" s="37" t="str">
        <f t="shared" si="5"/>
        <v>Commentaire entrée!D10
Chaque bâtiment doit être saisi individuellement.</v>
      </c>
      <c r="E179" s="26" t="s">
        <v>331</v>
      </c>
      <c r="F179" s="314" t="s">
        <v>488</v>
      </c>
      <c r="G179" s="26" t="s">
        <v>510</v>
      </c>
    </row>
    <row r="180" spans="3:7" ht="48" x14ac:dyDescent="0.2">
      <c r="C180" s="3">
        <v>177</v>
      </c>
      <c r="D180" s="37" t="str">
        <f t="shared" si="5"/>
        <v>Commentaire entrée!D12
Par défaut, 80% de la SP est utilisée comme SRE. En cas d'écart, la valeur peut être remplacée dans la ligne suivante.</v>
      </c>
      <c r="E180" s="26" t="s">
        <v>330</v>
      </c>
      <c r="F180" s="314" t="s">
        <v>534</v>
      </c>
      <c r="G180" s="26" t="s">
        <v>511</v>
      </c>
    </row>
    <row r="181" spans="3:7" ht="48" x14ac:dyDescent="0.2">
      <c r="C181" s="3">
        <v>178</v>
      </c>
      <c r="D181" s="37" t="str">
        <f t="shared" si="5"/>
        <v>Commentaire entrée!D22
Les bâtiments avec des zones de rénovation et de nouvelle construction doivent être saisis comme des bâtiments séparés.</v>
      </c>
      <c r="E181" s="26" t="s">
        <v>329</v>
      </c>
      <c r="F181" s="314" t="s">
        <v>489</v>
      </c>
      <c r="G181" s="26" t="s">
        <v>512</v>
      </c>
    </row>
    <row r="182" spans="3:7" ht="48" x14ac:dyDescent="0.2">
      <c r="C182" s="3">
        <v>179</v>
      </c>
      <c r="D182" s="37" t="str">
        <f t="shared" si="5"/>
        <v xml:space="preserve">Commentaire entrée!D53
Calcul avec le justificatif simple selon le standard Minergie pour bâtiment ou un outil de calcul d'écobilan autorisé. </v>
      </c>
      <c r="E182" s="26" t="s">
        <v>339</v>
      </c>
      <c r="F182" s="314" t="s">
        <v>500</v>
      </c>
      <c r="G182" s="26" t="s">
        <v>513</v>
      </c>
    </row>
    <row r="183" spans="3:7" ht="36" x14ac:dyDescent="0.2">
      <c r="C183" s="3">
        <v>180</v>
      </c>
      <c r="D183" s="37" t="str">
        <f t="shared" si="5"/>
        <v xml:space="preserve"> Commentaire entrée!D55
Production de chaleur pour le chauffage et l'eau chaude. Veuillez saisir la charge de pointe ci-dessous.</v>
      </c>
      <c r="E183" s="26" t="s">
        <v>336</v>
      </c>
      <c r="F183" s="314" t="s">
        <v>490</v>
      </c>
      <c r="G183" s="26" t="s">
        <v>514</v>
      </c>
    </row>
    <row r="184" spans="3:7" ht="24" x14ac:dyDescent="0.2">
      <c r="C184" s="3">
        <v>181</v>
      </c>
      <c r="D184" s="37" t="str">
        <f t="shared" si="5"/>
        <v>Prise en compte de l'installation PV (20% de consommation propre + 40% de l'injection)</v>
      </c>
      <c r="E184" s="26" t="s">
        <v>332</v>
      </c>
      <c r="F184" s="26" t="s">
        <v>491</v>
      </c>
      <c r="G184" s="26" t="s">
        <v>515</v>
      </c>
    </row>
    <row r="185" spans="3:7" x14ac:dyDescent="0.2">
      <c r="C185" s="3">
        <v>182</v>
      </c>
      <c r="D185" s="37" t="str">
        <f t="shared" si="5"/>
        <v>Surface de référence énergétique SRE pour le calcul</v>
      </c>
      <c r="E185" s="26" t="s">
        <v>132</v>
      </c>
      <c r="F185" s="26" t="s">
        <v>492</v>
      </c>
      <c r="G185" s="26" t="s">
        <v>516</v>
      </c>
    </row>
    <row r="186" spans="3:7" x14ac:dyDescent="0.2">
      <c r="C186" s="3">
        <v>183</v>
      </c>
      <c r="D186" s="37" t="str">
        <f t="shared" si="5"/>
        <v>Part</v>
      </c>
      <c r="E186" s="26" t="s">
        <v>333</v>
      </c>
      <c r="F186" s="26" t="s">
        <v>493</v>
      </c>
      <c r="G186" s="26" t="s">
        <v>517</v>
      </c>
    </row>
    <row r="187" spans="3:7" x14ac:dyDescent="0.2">
      <c r="C187" s="3">
        <v>184</v>
      </c>
      <c r="D187" s="37" t="str">
        <f t="shared" si="5"/>
        <v>Charge de pointe</v>
      </c>
      <c r="E187" s="26" t="s">
        <v>335</v>
      </c>
      <c r="F187" s="26" t="s">
        <v>494</v>
      </c>
      <c r="G187" s="26" t="s">
        <v>518</v>
      </c>
    </row>
    <row r="188" spans="3:7" ht="60" x14ac:dyDescent="0.2">
      <c r="C188" s="3">
        <v>185</v>
      </c>
      <c r="D188" s="37" t="str">
        <f t="shared" si="5"/>
        <v>Commentaire Entrée!D56 et D57
Production de chaleur pour le chauffage et l'eau chaude. Veuillez indiquer la charge de pointe ci-dessous. A saisir uniquement si plusieurs générateurs de chaleur sont utilisés.</v>
      </c>
      <c r="E188" s="26" t="s">
        <v>337</v>
      </c>
      <c r="F188" s="26" t="s">
        <v>495</v>
      </c>
      <c r="G188" s="26" t="s">
        <v>519</v>
      </c>
    </row>
    <row r="189" spans="3:7" ht="60" x14ac:dyDescent="0.2">
      <c r="C189" s="3">
        <v>186</v>
      </c>
      <c r="D189" s="37" t="str">
        <f t="shared" si="5"/>
        <v>Commentaire entrée!D58
La couverture de la charge de pointe par des énergies fossiles est autorisée conformément au règlement des produits actuellement en vigueur pour les standards MINERGIE / MINERGIE-P / MINERGIE-A.</v>
      </c>
      <c r="E189" s="26" t="s">
        <v>338</v>
      </c>
      <c r="F189" s="26" t="s">
        <v>501</v>
      </c>
      <c r="G189" s="26" t="s">
        <v>520</v>
      </c>
    </row>
    <row r="190" spans="3:7" ht="60" x14ac:dyDescent="0.2">
      <c r="C190" s="3">
        <v>187</v>
      </c>
      <c r="D190" s="37" t="str">
        <f t="shared" si="5"/>
        <v>Commentaire entrée!D44
Les installations solaires thermiques sont également prises en compte dans "C1.4 Utilisation de l'énergie solaire". Veuillez saisir les installations solaires thermiques sous "Production de chaleur".</v>
      </c>
      <c r="E190" s="26" t="s">
        <v>343</v>
      </c>
      <c r="F190" s="26" t="s">
        <v>496</v>
      </c>
      <c r="G190" s="26" t="s">
        <v>521</v>
      </c>
    </row>
    <row r="191" spans="3:7" ht="36" x14ac:dyDescent="0.2">
      <c r="C191" s="3">
        <v>188</v>
      </c>
      <c r="D191" s="37" t="str">
        <f t="shared" si="5"/>
        <v>Bâtiments dans l'inventaire de protection : les dispositions légales communales autorisent-t-elles les installations PV ?</v>
      </c>
      <c r="E191" s="26" t="s">
        <v>347</v>
      </c>
      <c r="F191" s="26" t="s">
        <v>502</v>
      </c>
      <c r="G191" s="26" t="s">
        <v>525</v>
      </c>
    </row>
    <row r="192" spans="3:7" x14ac:dyDescent="0.2">
      <c r="C192" s="3">
        <v>189</v>
      </c>
      <c r="D192" s="37" t="str">
        <f t="shared" si="5"/>
        <v>Installation PV autorisée</v>
      </c>
      <c r="E192" s="26" t="s">
        <v>345</v>
      </c>
      <c r="F192" s="26" t="s">
        <v>497</v>
      </c>
      <c r="G192" s="26" t="s">
        <v>522</v>
      </c>
    </row>
    <row r="193" spans="3:7" x14ac:dyDescent="0.2">
      <c r="C193" s="3">
        <v>190</v>
      </c>
      <c r="D193" s="37" t="str">
        <f t="shared" si="5"/>
        <v>Installation PV non autorisée</v>
      </c>
      <c r="E193" s="26" t="s">
        <v>344</v>
      </c>
      <c r="F193" s="26" t="s">
        <v>498</v>
      </c>
      <c r="G193" s="26" t="s">
        <v>523</v>
      </c>
    </row>
    <row r="194" spans="3:7" x14ac:dyDescent="0.2">
      <c r="C194" s="3">
        <v>191</v>
      </c>
      <c r="D194" s="37" t="str">
        <f t="shared" si="5"/>
        <v>vide</v>
      </c>
      <c r="E194" s="26" t="s">
        <v>346</v>
      </c>
      <c r="F194" s="26" t="s">
        <v>499</v>
      </c>
      <c r="G194" s="26" t="s">
        <v>524</v>
      </c>
    </row>
    <row r="195" spans="3:7" ht="24" x14ac:dyDescent="0.2">
      <c r="C195" s="3">
        <v>192</v>
      </c>
      <c r="D195" s="37" t="str">
        <f t="shared" si="5"/>
        <v>Début de la mise en œuvre nouvelle construction / rénovation (année)</v>
      </c>
      <c r="E195" s="26" t="s">
        <v>537</v>
      </c>
      <c r="F195" s="26" t="s">
        <v>535</v>
      </c>
      <c r="G195" s="26" t="s">
        <v>536</v>
      </c>
    </row>
    <row r="196" spans="3:7" x14ac:dyDescent="0.2">
      <c r="C196" s="3">
        <v>193</v>
      </c>
      <c r="D196" s="37" t="str">
        <f t="shared" si="5"/>
        <v>Nom du quartier</v>
      </c>
      <c r="E196" s="26" t="s">
        <v>540</v>
      </c>
      <c r="F196" s="26" t="s">
        <v>538</v>
      </c>
      <c r="G196" s="26" t="s">
        <v>539</v>
      </c>
    </row>
    <row r="197" spans="3:7" x14ac:dyDescent="0.2">
      <c r="C197" s="3">
        <v>194</v>
      </c>
      <c r="D197" s="37" t="str">
        <f t="shared" si="5"/>
        <v>Rénovation Minergie</v>
      </c>
      <c r="E197" s="26" t="s">
        <v>542</v>
      </c>
      <c r="F197" s="26" t="s">
        <v>544</v>
      </c>
      <c r="G197" s="26" t="s">
        <v>546</v>
      </c>
    </row>
    <row r="198" spans="3:7" ht="60" x14ac:dyDescent="0.2">
      <c r="C198" s="3">
        <v>195</v>
      </c>
      <c r="D198" s="37" t="str">
        <f t="shared" si="5"/>
        <v>Commentaire entrée!D11
Chaque bâtiment du quartier doit être saisi dans la plateforme-label, voir aussi l'aide à l'application. L'ID du bâtiment est une suite de chiffres commençant par B. Par exemple B11111.</v>
      </c>
      <c r="E198" s="26" t="s">
        <v>549</v>
      </c>
      <c r="F198" s="336" t="s">
        <v>579</v>
      </c>
      <c r="G198" s="336" t="s">
        <v>578</v>
      </c>
    </row>
    <row r="199" spans="3:7" x14ac:dyDescent="0.2">
      <c r="C199" s="3">
        <v>196</v>
      </c>
      <c r="D199" s="37" t="str">
        <f t="shared" si="5"/>
        <v>Nouvelle construction ou bâtiment existant</v>
      </c>
      <c r="E199" s="26" t="s">
        <v>555</v>
      </c>
      <c r="F199" s="336" t="s">
        <v>583</v>
      </c>
      <c r="G199" s="336" t="s">
        <v>582</v>
      </c>
    </row>
    <row r="200" spans="3:7" x14ac:dyDescent="0.2">
      <c r="C200" s="3">
        <v>197</v>
      </c>
      <c r="D200" s="37" t="str">
        <f t="shared" si="5"/>
        <v>Bâtiment existant</v>
      </c>
      <c r="E200" s="26" t="s">
        <v>556</v>
      </c>
      <c r="F200" s="336" t="s">
        <v>580</v>
      </c>
      <c r="G200" s="336" t="s">
        <v>581</v>
      </c>
    </row>
    <row r="201" spans="3:7" x14ac:dyDescent="0.2">
      <c r="C201" s="3">
        <v>198</v>
      </c>
      <c r="D201" s="37" t="str">
        <f t="shared" si="5"/>
        <v>Part des bâtiments Minergie dans le quartier</v>
      </c>
      <c r="E201" s="26" t="s">
        <v>560</v>
      </c>
      <c r="F201" s="336" t="s">
        <v>585</v>
      </c>
      <c r="G201" s="336" t="s">
        <v>584</v>
      </c>
    </row>
    <row r="202" spans="3:7" x14ac:dyDescent="0.2">
      <c r="C202" s="3">
        <v>199</v>
      </c>
      <c r="D202" s="37" t="str">
        <f t="shared" si="5"/>
        <v>Projet de construction</v>
      </c>
      <c r="E202" s="26" t="s">
        <v>561</v>
      </c>
      <c r="F202" s="336" t="s">
        <v>586</v>
      </c>
      <c r="G202" s="336" t="s">
        <v>587</v>
      </c>
    </row>
    <row r="203" spans="3:7" x14ac:dyDescent="0.2">
      <c r="C203" s="3">
        <v>200</v>
      </c>
      <c r="D203" s="37">
        <f t="shared" si="5"/>
        <v>0</v>
      </c>
    </row>
    <row r="204" spans="3:7" x14ac:dyDescent="0.2">
      <c r="C204" s="3">
        <v>201</v>
      </c>
      <c r="D204" s="37">
        <f t="shared" si="5"/>
        <v>0</v>
      </c>
    </row>
    <row r="205" spans="3:7" x14ac:dyDescent="0.2">
      <c r="C205" s="3">
        <v>202</v>
      </c>
      <c r="D205" s="37">
        <f t="shared" si="5"/>
        <v>0</v>
      </c>
    </row>
    <row r="206" spans="3:7" x14ac:dyDescent="0.2">
      <c r="C206" s="3">
        <v>203</v>
      </c>
      <c r="D206" s="37">
        <f t="shared" si="5"/>
        <v>0</v>
      </c>
    </row>
    <row r="207" spans="3:7" x14ac:dyDescent="0.2">
      <c r="C207" s="3">
        <v>204</v>
      </c>
      <c r="D207" s="37">
        <f t="shared" si="5"/>
        <v>0</v>
      </c>
    </row>
    <row r="208" spans="3:7" x14ac:dyDescent="0.2">
      <c r="C208" s="3">
        <v>205</v>
      </c>
      <c r="D208" s="37">
        <f t="shared" si="5"/>
        <v>0</v>
      </c>
    </row>
  </sheetData>
  <sortState xmlns:xlrd2="http://schemas.microsoft.com/office/spreadsheetml/2017/richdata2" ref="E77:G123">
    <sortCondition ref="E77:E123"/>
  </sortState>
  <phoneticPr fontId="1" type="noConversion"/>
  <conditionalFormatting sqref="E4:E19 E21:E70 E72:E169">
    <cfRule type="duplicateValues" dxfId="3" priority="4"/>
  </conditionalFormatting>
  <conditionalFormatting sqref="E21:E208 E4:E19">
    <cfRule type="containsText" dxfId="2" priority="3" operator="containsText" text="Kommentar">
      <formula>NOT(ISERROR(SEARCH("Kommentar",E4)))</formula>
    </cfRule>
  </conditionalFormatting>
  <conditionalFormatting sqref="E71">
    <cfRule type="containsText" dxfId="1" priority="1" operator="containsText" text="Kommentar">
      <formula>NOT(ISERROR(SEARCH("Kommentar",E71)))</formula>
    </cfRule>
    <cfRule type="duplicateValues" dxfId="0" priority="2"/>
  </conditionalFormatting>
  <dataValidations count="1">
    <dataValidation type="list" allowBlank="1" showInputMessage="1" showErrorMessage="1" sqref="C1" xr:uid="{A193C0CE-0BDE-485F-804A-B0FE46EB678F}">
      <formula1>$H$1:$H$3</formula1>
    </dataValidation>
  </dataValidation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SKCW24DMUQ4M-227545371-618066</_dlc_DocId>
    <_dlc_DocIdUrl xmlns="19415a2c-3045-4769-8042-b2d573daa356">
      <Url>https://mst239701.sharepoint.com/sites/Files/_layouts/15/DocIdRedir.aspx?ID=SKCW24DMUQ4M-227545371-618066</Url>
      <Description>SKCW24DMUQ4M-227545371-618066</Description>
    </_dlc_DocIdUrl>
    <lcf76f155ced4ddcb4097134ff3c332f xmlns="f9ded8a6-640d-4e2b-81aa-3f415abfbf2d">
      <Terms xmlns="http://schemas.microsoft.com/office/infopath/2007/PartnerControls"/>
    </lcf76f155ced4ddcb4097134ff3c332f>
    <TaxCatchAll xmlns="19415a2c-3045-4769-8042-b2d573daa356" xsi:nil="true"/>
    <SharedWithUsers xmlns="19415a2c-3045-4769-8042-b2d573daa356">
      <UserInfo>
        <DisplayName>Maja Dzakulin | Minergie</DisplayName>
        <AccountId>113</AccountId>
        <AccountType/>
      </UserInfo>
      <UserInfo>
        <DisplayName>Stefanie Steiner | Minergie</DisplayName>
        <AccountId>82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6" ma:contentTypeDescription="Create a new document." ma:contentTypeScope="" ma:versionID="48e1ce722a0c28751384785e55dfdc20">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9631bb1c07f463b330865ae2bca6f636"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73AD181-83D6-4E9A-B33D-B06802756F46}">
  <ds:schemaRefs>
    <ds:schemaRef ds:uri="http://schemas.microsoft.com/office/infopath/2007/PartnerControls"/>
    <ds:schemaRef ds:uri="f9ded8a6-640d-4e2b-81aa-3f415abfbf2d"/>
    <ds:schemaRef ds:uri="http://schemas.openxmlformats.org/package/2006/metadata/core-properties"/>
    <ds:schemaRef ds:uri="http://purl.org/dc/elements/1.1/"/>
    <ds:schemaRef ds:uri="http://schemas.microsoft.com/office/2006/documentManagement/types"/>
    <ds:schemaRef ds:uri="http://purl.org/dc/terms/"/>
    <ds:schemaRef ds:uri="http://www.w3.org/XML/1998/namespace"/>
    <ds:schemaRef ds:uri="19415a2c-3045-4769-8042-b2d573daa356"/>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588A4048-FC81-4D7D-838C-140C7DEC16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B891ED-4BA4-445D-B313-E9A06AB315D0}">
  <ds:schemaRefs>
    <ds:schemaRef ds:uri="http://schemas.microsoft.com/sharepoint/v3/contenttype/forms"/>
  </ds:schemaRefs>
</ds:datastoreItem>
</file>

<file path=customXml/itemProps4.xml><?xml version="1.0" encoding="utf-8"?>
<ds:datastoreItem xmlns:ds="http://schemas.openxmlformats.org/officeDocument/2006/customXml" ds:itemID="{7D0936FA-4882-44C2-802C-C74878377CB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38</vt:i4>
      </vt:variant>
    </vt:vector>
  </HeadingPairs>
  <TitlesOfParts>
    <vt:vector size="44" baseType="lpstr">
      <vt:lpstr>Anleitung</vt:lpstr>
      <vt:lpstr>Eingabe</vt:lpstr>
      <vt:lpstr>Uebersicht</vt:lpstr>
      <vt:lpstr>Listen</vt:lpstr>
      <vt:lpstr>Aenderungsjournal</vt:lpstr>
      <vt:lpstr>Uebersetzung</vt:lpstr>
      <vt:lpstr>AusnahmeAreal</vt:lpstr>
      <vt:lpstr>BauvorhabenAreal</vt:lpstr>
      <vt:lpstr>Bestandesbau</vt:lpstr>
      <vt:lpstr>BestAusnahme</vt:lpstr>
      <vt:lpstr>Anleitung!Druckbereich</vt:lpstr>
      <vt:lpstr>Eingabe!Druckbereich</vt:lpstr>
      <vt:lpstr>Uebersicht!Druckbereich</vt:lpstr>
      <vt:lpstr>Eingabe!Drucktitel</vt:lpstr>
      <vt:lpstr>EBFAreal</vt:lpstr>
      <vt:lpstr>EBFRückbau</vt:lpstr>
      <vt:lpstr>Erneuerung</vt:lpstr>
      <vt:lpstr>GEAK_SNBS</vt:lpstr>
      <vt:lpstr>Ja</vt:lpstr>
      <vt:lpstr>Leistung_Solar</vt:lpstr>
      <vt:lpstr>LST_Erneuerung</vt:lpstr>
      <vt:lpstr>LST_JaNein</vt:lpstr>
      <vt:lpstr>LST_Leer</vt:lpstr>
      <vt:lpstr>LST_PV_Zulässigkeit</vt:lpstr>
      <vt:lpstr>LSTArt</vt:lpstr>
      <vt:lpstr>LSTGebKat</vt:lpstr>
      <vt:lpstr>LSTMinStandard</vt:lpstr>
      <vt:lpstr>LSTNeubau</vt:lpstr>
      <vt:lpstr>LSTWärme</vt:lpstr>
      <vt:lpstr>Minergie</vt:lpstr>
      <vt:lpstr>MinergieA</vt:lpstr>
      <vt:lpstr>MinergieAEco</vt:lpstr>
      <vt:lpstr>MinergieEco</vt:lpstr>
      <vt:lpstr>MinergieP</vt:lpstr>
      <vt:lpstr>MinergiePEco</vt:lpstr>
      <vt:lpstr>MinergieZert</vt:lpstr>
      <vt:lpstr>Nein</vt:lpstr>
      <vt:lpstr>Neubau</vt:lpstr>
      <vt:lpstr>PV_nicht_zugelassen</vt:lpstr>
      <vt:lpstr>PV_Zugelassen</vt:lpstr>
      <vt:lpstr>Schutzinv</vt:lpstr>
      <vt:lpstr>Standardoffen</vt:lpstr>
      <vt:lpstr>Systemerneuerung</vt:lpstr>
      <vt:lpstr>WeitereAusnahmen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Stefanie Steiner</dc:creator>
  <cp:keywords/>
  <dc:description/>
  <cp:lastModifiedBy>Stefanie Steiner | Minergie</cp:lastModifiedBy>
  <cp:revision/>
  <cp:lastPrinted>2023-08-04T13:08:37Z</cp:lastPrinted>
  <dcterms:created xsi:type="dcterms:W3CDTF">2023-01-31T17:23:31Z</dcterms:created>
  <dcterms:modified xsi:type="dcterms:W3CDTF">2025-05-16T12:52:11Z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a2994602-1548-4c8f-862e-740dfad69bd5</vt:lpwstr>
  </property>
  <property fmtid="{D5CDD505-2E9C-101B-9397-08002B2CF9AE}" pid="4" name="MediaServiceImageTags">
    <vt:lpwstr/>
  </property>
</Properties>
</file>