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DE64FD6B-68A1-454E-A45A-932C9BC90181}" xr6:coauthVersionLast="47" xr6:coauthVersionMax="47" xr10:uidLastSave="{00000000-0000-0000-0000-000000000000}"/>
  <workbookProtection workbookAlgorithmName="SHA-512" workbookHashValue="4JDCIZAggMI0k1Jdep5Trd2IxxogQ5bm8kQ9zZKzwbi90xJ5IkNm2FhT/mUu8Z19WIAX6ZS1tPNOj2ni7bPmSQ==" workbookSaltValue="/qXTQ1tkcOUJggnnSBRN7A==" workbookSpinCount="100000" lockStructure="1"/>
  <bookViews>
    <workbookView xWindow="-110" yWindow="-110" windowWidth="19420" windowHeight="1030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'B1.4'!$B$1:$G$32</definedName>
    <definedName name="_xlnm.Print_Area" localSheetId="1">'B1.5'!$B$1:$G$19</definedName>
    <definedName name="_xlnm.Print_Area" localSheetId="2">'C2.2'!$B$1:$M$27</definedName>
    <definedName name="_xlnm.Print_Area" localSheetId="3">'C2.4'!$B$1:$G$18</definedName>
    <definedName name="_xlnm.Print_Area" localSheetId="4">'D1.5'!$B$1:$G$20</definedName>
    <definedName name="_xlnm.Print_Area" localSheetId="5">'E2.3'!$B$1:$G$29</definedName>
    <definedName name="_xlnm.Print_Area" localSheetId="6">'E2.4'!$B$1:$F$18</definedName>
    <definedName name="_xlnm.Print_Area" localSheetId="7">'E2.5'!$B$1:$F$18</definedName>
    <definedName name="_xlnm.Print_Area" localSheetId="8">'E2.6'!$B$1:$G$18</definedName>
    <definedName name="_xlnm.Print_Area" localSheetId="9">Joker!$B$1:$F$14</definedName>
    <definedName name="LST_E23">Listen!$B$22:$C$24</definedName>
    <definedName name="LST_E24">Listen!$B$9:$B$11</definedName>
    <definedName name="LST_E25">Listen!$B$2:$B$7</definedName>
    <definedName name="LST_Joker">Listen!$B$42:$B$45</definedName>
    <definedName name="LST_Lage">Listen!$B$22:$B$24</definedName>
    <definedName name="LST_Langsamverkehr">Listen!$A$28:$A$30</definedName>
    <definedName name="LST_OV">Listen!$B$27:$D$27</definedName>
    <definedName name="LSTArt">[1]Listen!$B$24:$B$28</definedName>
    <definedName name="LSTB14">Listen!$B$14:$B$19</definedName>
    <definedName name="LSTC22">Listen!$B$47:$B$48</definedName>
    <definedName name="LSTC22_2">Listen!$B$50:$B$51</definedName>
    <definedName name="LSTC22_3">Listen!$B$53:$B$54</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2" l="1"/>
  <c r="D23" i="1"/>
  <c r="E26" i="14" l="1"/>
  <c r="D26" i="14"/>
  <c r="E21" i="14"/>
  <c r="F21" i="14"/>
  <c r="G21" i="14"/>
  <c r="H21" i="14"/>
  <c r="I21" i="14"/>
  <c r="J21" i="14"/>
  <c r="K21" i="14"/>
  <c r="L21" i="14"/>
  <c r="M21" i="14"/>
  <c r="D21" i="14"/>
  <c r="F26" i="14" l="1"/>
  <c r="D27" i="14"/>
  <c r="F10" i="1" l="1"/>
  <c r="F12" i="11"/>
  <c r="D12" i="11"/>
  <c r="G12" i="11" s="1"/>
  <c r="D12" i="10"/>
  <c r="G12" i="10" s="1"/>
  <c r="D12" i="9"/>
  <c r="G12" i="9" s="1"/>
  <c r="F12" i="9"/>
  <c r="C12" i="8" l="1"/>
  <c r="F12" i="8" s="1"/>
  <c r="B26" i="1"/>
  <c r="B23" i="1"/>
  <c r="D26" i="1"/>
  <c r="H3" i="3" l="1"/>
  <c r="H2" i="3"/>
  <c r="H1" i="3"/>
  <c r="A1" i="3" l="1"/>
  <c r="D155" i="3" s="1"/>
  <c r="D10" i="3" l="1"/>
  <c r="D112" i="3"/>
  <c r="D125" i="3"/>
  <c r="B11" i="14" s="1"/>
  <c r="D86" i="3"/>
  <c r="D47" i="3"/>
  <c r="B7" i="13" s="1"/>
  <c r="D9" i="3"/>
  <c r="B7" i="2" s="1"/>
  <c r="D145" i="3"/>
  <c r="C27" i="2" s="1"/>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B9" i="8" s="1"/>
  <c r="D150" i="3"/>
  <c r="D111" i="3"/>
  <c r="D81" i="3"/>
  <c r="B9" i="6" s="1"/>
  <c r="D162" i="3"/>
  <c r="D76" i="3"/>
  <c r="F16" i="2" s="1"/>
  <c r="D171" i="3"/>
  <c r="D68" i="3"/>
  <c r="B11" i="1" s="1"/>
  <c r="D174" i="3"/>
  <c r="D139" i="3"/>
  <c r="B22" i="2" s="1"/>
  <c r="D50" i="3"/>
  <c r="D131" i="3"/>
  <c r="C15" i="14" s="1"/>
  <c r="D107" i="3"/>
  <c r="E25" i="14" s="1"/>
  <c r="D175" i="3"/>
  <c r="D64" i="3"/>
  <c r="B50" i="2" s="1"/>
  <c r="D128" i="3"/>
  <c r="B26" i="14" s="1"/>
  <c r="D13" i="3"/>
  <c r="D77" i="3"/>
  <c r="D141" i="3"/>
  <c r="B24" i="2" s="1"/>
  <c r="D38" i="3"/>
  <c r="A2" i="2" s="1"/>
  <c r="D102" i="3"/>
  <c r="B11" i="12" s="1"/>
  <c r="D166" i="3"/>
  <c r="D63" i="3"/>
  <c r="D127" i="3"/>
  <c r="B27" i="14" s="1"/>
  <c r="D25" i="3"/>
  <c r="C1" i="11" s="1"/>
  <c r="D97" i="3"/>
  <c r="B8" i="12" s="1"/>
  <c r="D161" i="3"/>
  <c r="D178" i="3"/>
  <c r="D148" i="3"/>
  <c r="D35" i="3"/>
  <c r="B44"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6"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47" i="2" s="1"/>
  <c r="D138" i="3"/>
  <c r="D13" i="14" s="1"/>
  <c r="D60" i="3"/>
  <c r="D147" i="3"/>
  <c r="D140" i="3"/>
  <c r="B23" i="2" s="1"/>
  <c r="D91" i="3"/>
  <c r="B7" i="10" s="1"/>
  <c r="D48" i="3"/>
  <c r="D4" i="3"/>
  <c r="B2" i="2" s="1"/>
  <c r="D16" i="3"/>
  <c r="B9" i="2" s="1"/>
  <c r="D29" i="3"/>
  <c r="D54" i="3"/>
  <c r="D79" i="3"/>
  <c r="B24" i="14" s="1"/>
  <c r="D177" i="3"/>
  <c r="D106" i="3"/>
  <c r="D25" i="14" s="1"/>
  <c r="D51" i="3"/>
  <c r="B16" i="2" s="1"/>
  <c r="D27" i="1" s="1"/>
  <c r="E27" i="1" s="1"/>
  <c r="D44" i="3"/>
  <c r="B12" i="13" s="1"/>
  <c r="D20" i="3"/>
  <c r="B5" i="11" s="1"/>
  <c r="D32" i="3"/>
  <c r="D96" i="3"/>
  <c r="B12" i="11" s="1"/>
  <c r="D160" i="3"/>
  <c r="D45" i="3"/>
  <c r="B14" i="13" s="1"/>
  <c r="D109" i="3"/>
  <c r="D6" i="3"/>
  <c r="B4" i="2" s="1"/>
  <c r="D70" i="3"/>
  <c r="B16" i="1" s="1"/>
  <c r="D134" i="3"/>
  <c r="C18" i="14" s="1"/>
  <c r="D31" i="3"/>
  <c r="B43" i="2" s="1"/>
  <c r="D95" i="3"/>
  <c r="B9" i="11" s="1"/>
  <c r="D159" i="3"/>
  <c r="D65" i="3"/>
  <c r="B51" i="2" s="1"/>
  <c r="D129" i="3"/>
  <c r="C13" i="14" s="1"/>
  <c r="D146" i="3"/>
  <c r="D27" i="2" s="1"/>
  <c r="D19" i="3"/>
  <c r="B11" i="6" s="1"/>
  <c r="D122" i="3"/>
  <c r="B48" i="2" s="1"/>
  <c r="D41" i="3"/>
  <c r="A42" i="2" s="1"/>
  <c r="D98" i="3"/>
  <c r="D176" i="3"/>
  <c r="D11" i="3"/>
  <c r="D66" i="3"/>
  <c r="D144" i="3"/>
  <c r="B27" i="2" s="1"/>
  <c r="D157" i="3"/>
  <c r="D15" i="3"/>
  <c r="B3" i="14" s="1"/>
  <c r="D49" i="3"/>
  <c r="D52" i="3"/>
  <c r="D132" i="3"/>
  <c r="C16" i="14" s="1"/>
  <c r="D82" i="3"/>
  <c r="D28" i="3"/>
  <c r="A50" i="2" s="1"/>
  <c r="D114" i="3"/>
  <c r="B14" i="14" s="1"/>
  <c r="D36" i="3"/>
  <c r="C1" i="12" s="1"/>
  <c r="D26" i="3"/>
  <c r="B42" i="2" s="1"/>
  <c r="D172" i="3"/>
  <c r="D40" i="3"/>
  <c r="B45" i="2" s="1"/>
  <c r="D104" i="3"/>
  <c r="B12" i="12" s="1"/>
  <c r="D168" i="3"/>
  <c r="D53" i="3"/>
  <c r="B19" i="2" s="1"/>
  <c r="D117" i="3"/>
  <c r="B17" i="14" s="1"/>
  <c r="D14" i="3"/>
  <c r="B7" i="6" s="1"/>
  <c r="D78" i="3"/>
  <c r="B7" i="1" s="1"/>
  <c r="D142" i="3"/>
  <c r="D39" i="3"/>
  <c r="C1" i="8" s="1"/>
  <c r="D103" i="3"/>
  <c r="B9" i="12" s="1"/>
  <c r="B22" i="12" s="1"/>
  <c r="D167" i="3"/>
  <c r="D73" i="3"/>
  <c r="D13" i="2" s="1"/>
  <c r="D137" i="3"/>
  <c r="B13" i="14" s="1"/>
  <c r="D154" i="3"/>
  <c r="D59" i="3"/>
  <c r="D99" i="3"/>
  <c r="F20" i="12" l="1"/>
  <c r="E15" i="12"/>
  <c r="J15" i="12" s="1"/>
  <c r="I15" i="12"/>
  <c r="B32" i="2"/>
  <c r="E14" i="12"/>
  <c r="A32" i="2"/>
  <c r="F22" i="14"/>
  <c r="B14" i="12"/>
  <c r="B26" i="2"/>
  <c r="A26" i="2"/>
  <c r="B15" i="12"/>
  <c r="B15" i="2"/>
  <c r="B13" i="12"/>
  <c r="B21" i="12" s="1"/>
  <c r="B10" i="12"/>
  <c r="B20" i="12" s="1"/>
  <c r="A9" i="2"/>
  <c r="B8" i="5"/>
  <c r="C1" i="6"/>
  <c r="B5" i="9"/>
  <c r="B11" i="5"/>
  <c r="B12" i="6"/>
  <c r="B9" i="5"/>
  <c r="B12" i="5"/>
  <c r="B14" i="2"/>
  <c r="F23" i="1" s="1"/>
  <c r="G23" i="1" s="1"/>
  <c r="A22" i="2"/>
  <c r="B5" i="10"/>
  <c r="D11" i="10"/>
  <c r="E13" i="2"/>
  <c r="C11" i="8"/>
  <c r="D19" i="12"/>
  <c r="D21" i="1"/>
  <c r="D11" i="9"/>
  <c r="A47" i="2"/>
  <c r="B5" i="8"/>
  <c r="B3" i="8"/>
  <c r="A53" i="2"/>
  <c r="G11" i="9"/>
  <c r="D24" i="1"/>
  <c r="E24" i="1" s="1"/>
  <c r="F27" i="1"/>
  <c r="G27" i="1" s="1"/>
  <c r="B3" i="12"/>
  <c r="B21" i="14"/>
  <c r="C18" i="1"/>
  <c r="C17" i="1"/>
  <c r="C12" i="1"/>
  <c r="B18" i="1"/>
  <c r="C27" i="1" s="1"/>
  <c r="F24" i="1"/>
  <c r="B3" i="11"/>
  <c r="D11" i="11"/>
  <c r="B10" i="10"/>
  <c r="G11" i="10"/>
  <c r="B5" i="14"/>
  <c r="D18" i="2"/>
  <c r="D11" i="8"/>
  <c r="M22" i="14"/>
  <c r="D16" i="2"/>
  <c r="B10" i="9"/>
  <c r="E21" i="1"/>
  <c r="D15" i="2"/>
  <c r="F19" i="12"/>
  <c r="K22" i="14"/>
  <c r="D19" i="2"/>
  <c r="I22" i="14"/>
  <c r="B3" i="1"/>
  <c r="B5" i="12"/>
  <c r="B5" i="1"/>
  <c r="F11" i="8"/>
  <c r="G22" i="14"/>
  <c r="F13" i="2"/>
  <c r="C13" i="1"/>
  <c r="B20" i="1"/>
  <c r="B3" i="6"/>
  <c r="G19" i="12"/>
  <c r="E11" i="10"/>
  <c r="B5" i="13"/>
  <c r="J22" i="14"/>
  <c r="B22" i="14"/>
  <c r="B13" i="1"/>
  <c r="C24" i="1" s="1"/>
  <c r="B5" i="5"/>
  <c r="B3" i="5"/>
  <c r="G21" i="1"/>
  <c r="B3" i="13"/>
  <c r="C1" i="14"/>
  <c r="E22" i="14"/>
  <c r="B5" i="6"/>
  <c r="B10" i="11"/>
  <c r="E11" i="11"/>
  <c r="H22" i="14"/>
  <c r="D22" i="14"/>
  <c r="B10" i="8"/>
  <c r="B3" i="9"/>
  <c r="B3" i="10"/>
  <c r="G11" i="11"/>
  <c r="E11" i="9"/>
  <c r="B18" i="12"/>
  <c r="F1" i="8"/>
  <c r="F1" i="1"/>
  <c r="E1" i="5"/>
  <c r="E1" i="13"/>
  <c r="F1" i="12"/>
  <c r="E1" i="6"/>
  <c r="F1" i="11"/>
  <c r="F1" i="10"/>
  <c r="L1" i="14"/>
  <c r="F1" i="9"/>
  <c r="C1" i="1"/>
  <c r="L22" i="14"/>
  <c r="F26" i="1"/>
  <c r="G26" i="1" s="1"/>
  <c r="F21" i="12" l="1"/>
  <c r="F22" i="12" s="1"/>
  <c r="G22" i="12" s="1"/>
  <c r="B12" i="1"/>
  <c r="C23" i="1" s="1"/>
  <c r="E27" i="14"/>
  <c r="F27" i="14" s="1"/>
  <c r="G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<sst xmlns="http://schemas.openxmlformats.org/spreadsheetml/2006/main" count="462" uniqueCount="433">
  <si>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</si>
  <si>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</si>
  <si>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</si>
  <si>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</si>
  <si>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</si>
  <si>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</si>
  <si>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</si>
  <si>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</si>
  <si>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</si>
  <si>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</si>
  <si>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</si>
  <si>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</si>
  <si>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</si>
  <si>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</si>
  <si>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</si>
  <si>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</si>
  <si>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</si>
  <si>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</si>
  <si>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</si>
  <si>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</si>
  <si>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</si>
  <si>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</si>
  <si>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</si>
  <si>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</si>
  <si>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</si>
  <si>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</si>
  <si>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</si>
  <si>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</si>
  <si>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</si>
  <si>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</si>
  <si>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</si>
  <si>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</si>
  <si>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</si>
  <si>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</si>
  <si>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</si>
  <si>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</si>
  <si>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</si>
  <si>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</si>
  <si>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</si>
  <si>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</si>
  <si>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</si>
  <si>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</si>
  <si>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</si>
  <si>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</si>
  <si>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</si>
  <si>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</si>
  <si>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</si>
  <si>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</si>
  <si>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</si>
  <si>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</si>
  <si>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</si>
  <si>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</si>
  <si>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</si>
  <si>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</si>
  <si>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</si>
  <si>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</si>
  <si>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</si>
  <si>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</si>
  <si>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</si>
  <si>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</si>
  <si>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</si>
  <si>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</si>
  <si>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</si>
  <si>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</si>
  <si>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</si>
  <si>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</si>
  <si>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</si>
  <si>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</si>
  <si>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</si>
  <si>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</si>
  <si>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</si>
  <si>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</si>
  <si>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</si>
  <si>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</si>
  <si>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</si>
  <si>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</si>
  <si>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</si>
  <si>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</si>
  <si>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</si>
  <si>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</si>
  <si>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</si>
  <si>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</si>
  <si>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</si>
  <si>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</si>
  <si>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</si>
  <si>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</si>
  <si>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</si>
  <si>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</si>
  <si>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</si>
  <si>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</si>
  <si>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</si>
  <si>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</si>
  <si>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</si>
  <si>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</si>
  <si>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</si>
  <si>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</si>
  <si>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</si>
  <si>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</si>
  <si>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</si>
  <si>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</si>
  <si>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</si>
  <si>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</si>
  <si>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</si>
  <si>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</si>
  <si>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</si>
  <si>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</si>
  <si>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</si>
  <si>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</si>
  <si>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</si>
  <si>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</si>
  <si>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</si>
  <si>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</si>
  <si>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</si>
  <si>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</si>
  <si>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</si>
  <si>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</si>
  <si>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</si>
  <si>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</si>
  <si>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</si>
  <si>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</si>
  <si>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</si>
  <si>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</si>
  <si>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</si>
  <si>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</si>
  <si>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</si>
  <si>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</si>
  <si>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</si>
  <si>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</si>
  <si>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</si>
  <si>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</si>
  <si>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</si>
  <si>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</si>
  <si>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</si>
  <si>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</si>
  <si>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</si>
  <si>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</si>
  <si>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</si>
  <si>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</si>
  <si>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</si>
  <si>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</si>
  <si>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</si>
  <si>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</si>
  <si>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</si>
  <si>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</si>
  <si>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</si>
  <si>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</si>
  <si>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</si>
  <si>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</si>
  <si>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</si>
  <si>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</si>
  <si>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</si>
  <si>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</si>
  <si>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</si>
  <si>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</si>
  <si>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</si>
  <si>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</si>
  <si>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</si>
  <si>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</si>
  <si>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</si>
  <si>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</si>
  <si>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</si>
  <si>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</si>
  <si>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</si>
  <si>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</si>
  <si>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</si>
  <si>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</si>
  <si>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</si>
  <si>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</si>
  <si>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</si>
  <si>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</si>
  <si>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</si>
  <si>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</si>
  <si>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</si>
  <si>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</si>
  <si>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</si>
  <si>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</si>
  <si>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</si>
  <si>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</si>
  <si>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</si>
  <si>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</si>
  <si>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</si>
  <si>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</si>
  <si>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</si>
  <si>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</si>
  <si>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</si>
  <si>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</si>
  <si>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</si>
  <si>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</si>
  <si>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</si>
  <si>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</si>
  <si>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</si>
  <si>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</si>
  <si>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</si>
  <si>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</si>
  <si>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</si>
  <si>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</si>
  <si>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</si>
  <si>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</si>
  <si>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</si>
  <si>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</si>
  <si>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</si>
  <si>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</si>
  <si>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</si>
  <si>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</si>
  <si>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</si>
  <si>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</si>
  <si>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</si>
  <si>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</si>
  <si>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</si>
  <si>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</si>
  <si>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</si>
  <si>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</si>
  <si>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</si>
  <si>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</si>
  <si>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</si>
  <si>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</si>
  <si>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</si>
  <si>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</si>
  <si>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</si>
  <si>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</si>
  <si>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</si>
  <si>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</si>
  <si>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</si>
  <si>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</si>
  <si>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</si>
  <si>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</si>
  <si>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</si>
  <si>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</si>
  <si>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</si>
  <si>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</si>
  <si>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</si>
  <si>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</si>
  <si>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</si>
  <si>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</si>
  <si>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</si>
  <si>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</si>
  <si>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</si>
  <si>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</si>
  <si>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</si>
  <si>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</si>
  <si>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</si>
  <si>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</si>
  <si>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</si>
  <si>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</si>
  <si>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</si>
  <si>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</si>
  <si>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</si>
  <si>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</si>
  <si>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</si>
  <si>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</si>
  <si>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</si>
  <si>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</si>
  <si>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</si>
  <si>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</si>
  <si>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</si>
  <si>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</si>
  <si>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</si>
  <si>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</si>
  <si>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</si>
  <si>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</si>
  <si>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</si>
  <si>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</si>
  <si>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</si>
  <si>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</si>
  <si>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</si>
  <si>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</si>
  <si>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</si>
  <si>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</si>
  <si>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</si>
  <si>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</si>
  <si>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</si>
  <si>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</si>
  <si>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</si>
  <si>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</si>
  <si>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</si>
  <si>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</si>
  <si>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</si>
  <si>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</si>
  <si>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</si>
  <si>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</si>
  <si>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</si>
  <si>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</si>
  <si>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</si>
  <si>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</si>
  <si>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</si>
  <si>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</si>
  <si>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</si>
  <si>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</si>
  <si>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</si>
  <si>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</si>
  <si>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</si>
  <si>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</si>
  <si>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</si>
  <si>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</si>
  <si>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</si>
  <si>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</si>
  <si>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</si>
  <si>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</si>
  <si>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</si>
  <si>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</si>
  <si>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</si>
  <si>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</si>
  <si>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</si>
  <si>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</si>
  <si>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</si>
  <si>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</si>
  <si>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</si>
  <si>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</si>
  <si>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</si>
  <si>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</si>
  <si>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</si>
  <si>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</si>
  <si>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</si>
  <si>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</si>
  <si>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</si>
  <si>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</si>
  <si>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</si>
  <si>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</si>
  <si>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</si>
  <si>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</si>
  <si>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</si>
  <si>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</si>
  <si>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</si>
  <si>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</si>
  <si>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</si>
  <si>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</si>
  <si>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</si>
  <si>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</si>
  <si>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</si>
  <si>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</si>
  <si>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</si>
  <si>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</si>
  <si>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</si>
  <si>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</si>
  <si>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</si>
  <si>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</si>
  <si>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</si>
  <si>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</si>
  <si>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</si>
  <si>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</si>
  <si>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</si>
  <si>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</si>
  <si>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</si>
  <si>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</si>
  <si>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</si>
  <si>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</si>
  <si>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</si>
  <si>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</si>
  <si>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</si>
  <si>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</si>
  <si>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</si>
  <si>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</si>
  <si>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</si>
  <si>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</si>
  <si>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</si>
  <si>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</si>
  <si>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</si>
  <si>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</si>
  <si>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</si>
  <si>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</si>
  <si>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</si>
  <si>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</si>
  <si>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</si>
  <si>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</si>
  <si>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</si>
  <si>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</si>
  <si>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</si>
  <si>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</si>
  <si>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</si>
  <si>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</si>
  <si>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</si>
  <si>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</si>
  <si>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</si>
  <si>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</si>
  <si>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</si>
  <si>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</si>
  <si>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</si>
  <si>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</si>
  <si>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</si>
  <si>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</si>
  <si>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</si>
  <si>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</si>
  <si>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</si>
  <si>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</si>
  <si>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</si>
  <si>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</si>
  <si>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</si>
  <si>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</si>
  <si>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</si>
  <si>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</si>
  <si>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</si>
  <si>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</si>
  <si>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</si>
  <si>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</si>
  <si>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</si>
  <si>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</si>
  <si>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</si>
  <si>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</si>
  <si>
    <t>≥</t>
  </si>
  <si>
    <t>Centre</t>
  </si>
  <si>
    <t>Agglomération</t>
  </si>
  <si>
    <t>Hors agglomération</t>
  </si>
  <si>
    <t>Centro</t>
  </si>
  <si>
    <t>Agglomerati</t>
  </si>
  <si>
    <t>Campagna</t>
  </si>
  <si>
    <t>Bedienungshäufigkeit des öffentlichen Verkehrs</t>
  </si>
  <si>
    <t>Fréquence des transports publics</t>
  </si>
  <si>
    <t>Frequenza dei trasporti pubblici</t>
  </si>
  <si>
    <t>Anteil Langsamverkehr am gesamten erzeugten Personenverkehr</t>
  </si>
  <si>
    <t>Quota della mobilità dolce sul totale del traffico passeggeri generato</t>
  </si>
  <si>
    <t>Part de la mobilité douce dans l'ensemble de la génération du trafic de personne</t>
  </si>
  <si>
    <t>&gt; 50%</t>
  </si>
  <si>
    <t>&lt; 25%</t>
  </si>
  <si>
    <t>25 - 50%</t>
  </si>
  <si>
    <t>A</t>
  </si>
  <si>
    <t>B</t>
  </si>
  <si>
    <t>C</t>
  </si>
  <si>
    <r>
      <rPr>
        <sz val="9"/>
        <color theme="1"/>
        <rFont val="Aptos Narrow"/>
        <family val="2"/>
      </rPr>
      <t>≥</t>
    </r>
    <r>
      <rPr>
        <sz val="9"/>
        <color theme="1"/>
        <rFont val="Arial"/>
        <family val="2"/>
      </rPr>
      <t xml:space="preserve"> 4-mal pro Stunde</t>
    </r>
  </si>
  <si>
    <r>
      <rPr>
        <sz val="9"/>
        <color theme="1"/>
        <rFont val="Aptos Narrow"/>
        <family val="2"/>
      </rPr>
      <t>≥</t>
    </r>
    <r>
      <rPr>
        <sz val="9"/>
        <color theme="1"/>
        <rFont val="Arial"/>
        <family val="2"/>
      </rPr>
      <t xml:space="preserve"> 4 fois par heure</t>
    </r>
  </si>
  <si>
    <t>1 - 4-mal pro Stunde</t>
  </si>
  <si>
    <t>Nicht mit ÖV erschlossen</t>
  </si>
  <si>
    <t>Pas desservi par les TP</t>
  </si>
  <si>
    <r>
      <rPr>
        <sz val="9"/>
        <color theme="1"/>
        <rFont val="Aptos Narrow"/>
        <family val="2"/>
      </rPr>
      <t>1 -</t>
    </r>
    <r>
      <rPr>
        <sz val="9"/>
        <color theme="1"/>
        <rFont val="Arial"/>
        <family val="2"/>
      </rPr>
      <t xml:space="preserve"> 4 fois par heure</t>
    </r>
  </si>
  <si>
    <t>1 - 4 volte all'ora</t>
  </si>
  <si>
    <t>Non servito dai mezzi pubblici</t>
  </si>
  <si>
    <t>≥ 4 volte all'ora</t>
  </si>
  <si>
    <t>D</t>
  </si>
  <si>
    <t>E</t>
  </si>
  <si>
    <t>Standort-Typ</t>
  </si>
  <si>
    <t>Type de localisation</t>
  </si>
  <si>
    <t>Tipo di localizzazione</t>
  </si>
  <si>
    <t>Minimum</t>
  </si>
  <si>
    <t>Minimo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</si>
</sst>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
  </numFmts>
  <fonts count="25"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Aptos Narrow"/>
      <family val="2"/>
    </font>
    <font>
      <sz val="9"/>
      <color theme="1"/>
      <name val="Aptos Narrow"/>
      <family val="2"/>
    </font>
    <font>
      <b/>
      <sz val="10"/>
      <color theme="1"/>
      <name val="Arial"/>
      <family val="2"/>
    </font>
    <font>
      <sz val="11"/>
      <color theme="6"/>
      <name val="Arial"/>
      <family val="2"/>
    </font>
    <font>
      <b/>
      <sz val="11"/>
      <color theme="6"/>
      <name val="Arial"/>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rgb="FFF727BC"/>
        <bgColor indexed="64"/>
      </patternFill>
    </fill>
  </fills>
  <borders count="59">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5"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2"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5"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5" fontId="6" fillId="0" borderId="3" xfId="0" applyNumberFormat="1" applyFont="1" applyBorder="1" applyAlignment="1">
      <alignment horizontal="center" vertical="center"/>
    </xf>
    <xf numFmtId="165"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5" fontId="6" fillId="0" borderId="55" xfId="0" applyNumberFormat="1" applyFont="1" applyBorder="1" applyAlignment="1">
      <alignment horizontal="center" vertical="center"/>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3" fontId="6" fillId="0" borderId="0" xfId="0" applyNumberFormat="1" applyFont="1" applyAlignment="1">
      <alignment horizontal="center" vertical="center" wrapText="1"/>
    </xf>
    <xf numFmtId="9" fontId="6" fillId="0" borderId="25" xfId="2" applyFont="1" applyBorder="1" applyAlignment="1">
      <alignment horizontal="center" vertical="center" wrapText="1"/>
    </xf>
    <xf numFmtId="165" fontId="6" fillId="0" borderId="20" xfId="2" applyNumberFormat="1" applyFont="1" applyBorder="1" applyAlignment="1">
      <alignment horizontal="center" vertical="center" wrapText="1"/>
    </xf>
    <xf numFmtId="9" fontId="6" fillId="0" borderId="25" xfId="2" applyFont="1" applyBorder="1" applyAlignment="1" applyProtection="1">
      <alignment horizontal="center" vertical="center" wrapText="1"/>
    </xf>
    <xf numFmtId="9" fontId="20" fillId="0" borderId="27" xfId="2" applyFont="1" applyBorder="1" applyAlignment="1" applyProtection="1">
      <alignment horizontal="center" vertical="center" wrapText="1"/>
    </xf>
    <xf numFmtId="165" fontId="6" fillId="0" borderId="7"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6" fillId="0" borderId="56" xfId="0" applyFont="1" applyBorder="1" applyAlignment="1">
      <alignment vertic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53" xfId="2" applyNumberFormat="1" applyFont="1" applyBorder="1" applyAlignment="1">
      <alignment horizontal="center" vertical="center" wrapText="1"/>
    </xf>
    <xf numFmtId="9" fontId="6" fillId="0" borderId="27" xfId="2" applyFont="1" applyBorder="1" applyAlignment="1">
      <alignment horizontal="right" vertical="center" wrapText="1"/>
    </xf>
    <xf numFmtId="165" fontId="6" fillId="0" borderId="54" xfId="0" applyNumberFormat="1" applyFont="1" applyBorder="1" applyAlignment="1">
      <alignment horizontal="right" vertical="center"/>
    </xf>
    <xf numFmtId="9" fontId="6" fillId="0" borderId="27" xfId="2" applyFont="1" applyBorder="1" applyAlignment="1">
      <alignment horizontal="center" vertical="center" wrapText="1"/>
    </xf>
    <xf numFmtId="0" fontId="5" fillId="0" borderId="30" xfId="0" applyFont="1" applyBorder="1" applyAlignment="1">
      <alignment horizontal="center" wrapText="1"/>
    </xf>
    <xf numFmtId="3" fontId="6" fillId="5" borderId="30" xfId="0" applyNumberFormat="1" applyFont="1" applyFill="1" applyBorder="1" applyAlignment="1" applyProtection="1">
      <alignment horizontal="center" vertical="center"/>
      <protection locked="0"/>
    </xf>
    <xf numFmtId="0" fontId="4" fillId="11" borderId="0" xfId="0" applyFont="1" applyFill="1"/>
    <xf numFmtId="0" fontId="21" fillId="0" borderId="0" xfId="0" applyFont="1" applyAlignment="1">
      <alignment wrapText="1"/>
    </xf>
    <xf numFmtId="0" fontId="22" fillId="0" borderId="37" xfId="0" applyFont="1" applyBorder="1" applyAlignment="1">
      <alignment wrapText="1"/>
    </xf>
    <xf numFmtId="0" fontId="11" fillId="0" borderId="37" xfId="0" applyFont="1" applyBorder="1" applyAlignment="1">
      <alignment horizontal="right" wrapText="1"/>
    </xf>
    <xf numFmtId="9" fontId="11" fillId="0" borderId="37" xfId="0" applyNumberFormat="1" applyFont="1" applyBorder="1" applyAlignment="1">
      <alignment wrapText="1"/>
    </xf>
    <xf numFmtId="9" fontId="6" fillId="0" borderId="0" xfId="2" applyFont="1" applyAlignment="1">
      <alignment vertical="center"/>
    </xf>
    <xf numFmtId="0" fontId="23" fillId="0" borderId="31" xfId="0" applyFont="1" applyBorder="1" applyAlignment="1">
      <alignment vertical="center"/>
    </xf>
    <xf numFmtId="0" fontId="23" fillId="0" borderId="32" xfId="0" applyFont="1" applyBorder="1" applyAlignment="1">
      <alignment vertical="center"/>
    </xf>
    <xf numFmtId="0" fontId="23" fillId="0" borderId="2" xfId="0" applyFont="1" applyBorder="1" applyAlignment="1">
      <alignment horizontal="center" vertical="center"/>
    </xf>
    <xf numFmtId="0" fontId="23" fillId="0" borderId="56" xfId="0" applyFont="1" applyBorder="1" applyAlignment="1">
      <alignment horizontal="center" vertical="center"/>
    </xf>
    <xf numFmtId="166" fontId="23" fillId="0" borderId="24" xfId="0" applyNumberFormat="1" applyFont="1" applyBorder="1" applyAlignment="1">
      <alignment horizontal="center" vertical="center"/>
    </xf>
    <xf numFmtId="0" fontId="24" fillId="0" borderId="16" xfId="0" applyFont="1" applyBorder="1" applyAlignment="1">
      <alignment horizontal="center" vertical="center"/>
    </xf>
    <xf numFmtId="0" fontId="23" fillId="0" borderId="57" xfId="0" applyFont="1" applyBorder="1" applyAlignment="1">
      <alignment horizontal="center" vertical="center"/>
    </xf>
    <xf numFmtId="166" fontId="23" fillId="0" borderId="32" xfId="0" applyNumberFormat="1" applyFont="1" applyBorder="1" applyAlignment="1">
      <alignment horizontal="center" vertical="center"/>
    </xf>
    <xf numFmtId="0" fontId="6" fillId="9" borderId="56" xfId="0" applyFont="1" applyFill="1" applyBorder="1" applyAlignment="1" applyProtection="1">
      <alignment horizontal="center" vertical="center" wrapText="1"/>
      <protection locked="0"/>
    </xf>
    <xf numFmtId="0" fontId="6" fillId="9" borderId="26" xfId="0"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protection locked="0"/>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6" xfId="0" applyFont="1" applyBorder="1" applyAlignment="1">
      <alignment horizontal="center" wrapText="1"/>
    </xf>
    <xf numFmtId="0" fontId="5" fillId="0" borderId="24" xfId="0" applyFont="1" applyBorder="1" applyAlignment="1">
      <alignment horizont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5" fillId="0" borderId="53"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vertical="top" wrapText="1"/>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58" xfId="0" applyFont="1" applyBorder="1" applyAlignment="1">
      <alignment horizontal="center" vertical="center"/>
    </xf>
    <xf numFmtId="0" fontId="6" fillId="0" borderId="22" xfId="0" applyFont="1" applyBorder="1" applyAlignment="1">
      <alignment vertical="center" wrapText="1"/>
    </xf>
    <xf numFmtId="0" fontId="6" fillId="0" borderId="7" xfId="0" applyFont="1" applyBorder="1" applyAlignment="1">
      <alignment vertical="center"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xf numFmtId="0" fontId="11" fillId="0" borderId="37" xfId="0" applyFont="1" applyBorder="1" applyAlignment="1">
      <alignment horizontal="center" wrapText="1"/>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226423</xdr:colOff>
      <xdr:row>0</xdr:row>
      <xdr:rowOff>148043</xdr:rowOff>
    </xdr:from>
    <xdr:to>
      <xdr:col>1</xdr:col>
      <xdr:colOff>2593758</xdr:colOff>
      <xdr:row>0</xdr:row>
      <xdr:rowOff>461012</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69298" y="148043"/>
          <a:ext cx="2367335" cy="312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142875</xdr:rowOff>
    </xdr:from>
    <xdr:to>
      <xdr:col>1</xdr:col>
      <xdr:colOff>2595935</xdr:colOff>
      <xdr:row>0</xdr:row>
      <xdr:rowOff>455844</xdr:rowOff>
    </xdr:to>
    <xdr:pic>
      <xdr:nvPicPr>
        <xdr:cNvPr id="2" name="Grafik 1">
          <a:extLst>
            <a:ext uri="{FF2B5EF4-FFF2-40B4-BE49-F238E27FC236}">
              <a16:creationId xmlns:a16="http://schemas.microsoft.com/office/drawing/2014/main" id="{F25AC51A-494C-464B-B1F7-2913F51D145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71475" y="142875"/>
          <a:ext cx="2367335" cy="312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180975</xdr:rowOff>
    </xdr:from>
    <xdr:to>
      <xdr:col>1</xdr:col>
      <xdr:colOff>2443535</xdr:colOff>
      <xdr:row>0</xdr:row>
      <xdr:rowOff>493944</xdr:rowOff>
    </xdr:to>
    <xdr:pic>
      <xdr:nvPicPr>
        <xdr:cNvPr id="2" name="Grafik 1">
          <a:extLst>
            <a:ext uri="{FF2B5EF4-FFF2-40B4-BE49-F238E27FC236}">
              <a16:creationId xmlns:a16="http://schemas.microsoft.com/office/drawing/2014/main" id="{EEC4ADC0-48B1-4D9E-8348-91B4EC7386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219075" y="180975"/>
          <a:ext cx="2367335" cy="312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180975</xdr:rowOff>
    </xdr:from>
    <xdr:to>
      <xdr:col>1</xdr:col>
      <xdr:colOff>2586410</xdr:colOff>
      <xdr:row>0</xdr:row>
      <xdr:rowOff>493944</xdr:rowOff>
    </xdr:to>
    <xdr:pic>
      <xdr:nvPicPr>
        <xdr:cNvPr id="2" name="Grafik 1">
          <a:extLst>
            <a:ext uri="{FF2B5EF4-FFF2-40B4-BE49-F238E27FC236}">
              <a16:creationId xmlns:a16="http://schemas.microsoft.com/office/drawing/2014/main" id="{6A814671-BECC-4AA0-879E-357D5535B7B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61950" y="180975"/>
          <a:ext cx="2367335" cy="3129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209550</xdr:rowOff>
    </xdr:from>
    <xdr:to>
      <xdr:col>1</xdr:col>
      <xdr:colOff>2529260</xdr:colOff>
      <xdr:row>0</xdr:row>
      <xdr:rowOff>522519</xdr:rowOff>
    </xdr:to>
    <xdr:pic>
      <xdr:nvPicPr>
        <xdr:cNvPr id="2" name="Grafik 1">
          <a:extLst>
            <a:ext uri="{FF2B5EF4-FFF2-40B4-BE49-F238E27FC236}">
              <a16:creationId xmlns:a16="http://schemas.microsoft.com/office/drawing/2014/main" id="{7DEE9D94-F724-49EC-A099-C6E437A0B4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04800" y="209550"/>
          <a:ext cx="2367335" cy="3129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0</xdr:row>
      <xdr:rowOff>209550</xdr:rowOff>
    </xdr:from>
    <xdr:to>
      <xdr:col>1</xdr:col>
      <xdr:colOff>2567360</xdr:colOff>
      <xdr:row>0</xdr:row>
      <xdr:rowOff>522519</xdr:rowOff>
    </xdr:to>
    <xdr:pic>
      <xdr:nvPicPr>
        <xdr:cNvPr id="2" name="Grafik 1">
          <a:extLst>
            <a:ext uri="{FF2B5EF4-FFF2-40B4-BE49-F238E27FC236}">
              <a16:creationId xmlns:a16="http://schemas.microsoft.com/office/drawing/2014/main" id="{8FD0CCB2-DDB0-455F-BA1D-9EE9BD37007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42900" y="209550"/>
          <a:ext cx="2367335" cy="3129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0</xdr:row>
      <xdr:rowOff>228600</xdr:rowOff>
    </xdr:from>
    <xdr:to>
      <xdr:col>1</xdr:col>
      <xdr:colOff>2557835</xdr:colOff>
      <xdr:row>0</xdr:row>
      <xdr:rowOff>541569</xdr:rowOff>
    </xdr:to>
    <xdr:pic>
      <xdr:nvPicPr>
        <xdr:cNvPr id="2" name="Grafik 1">
          <a:extLst>
            <a:ext uri="{FF2B5EF4-FFF2-40B4-BE49-F238E27FC236}">
              <a16:creationId xmlns:a16="http://schemas.microsoft.com/office/drawing/2014/main" id="{821100ED-D0A2-4995-A335-8D6ACCF324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04825" y="228600"/>
          <a:ext cx="2367335" cy="3129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0</xdr:row>
      <xdr:rowOff>180975</xdr:rowOff>
    </xdr:from>
    <xdr:to>
      <xdr:col>1</xdr:col>
      <xdr:colOff>2538785</xdr:colOff>
      <xdr:row>0</xdr:row>
      <xdr:rowOff>493944</xdr:rowOff>
    </xdr:to>
    <xdr:pic>
      <xdr:nvPicPr>
        <xdr:cNvPr id="2" name="Grafik 1">
          <a:extLst>
            <a:ext uri="{FF2B5EF4-FFF2-40B4-BE49-F238E27FC236}">
              <a16:creationId xmlns:a16="http://schemas.microsoft.com/office/drawing/2014/main" id="{77D9A930-DE7A-4B4B-A892-B582E73DFCB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85775" y="180975"/>
          <a:ext cx="2367335" cy="3129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0</xdr:row>
      <xdr:rowOff>190500</xdr:rowOff>
    </xdr:from>
    <xdr:to>
      <xdr:col>1</xdr:col>
      <xdr:colOff>2567360</xdr:colOff>
      <xdr:row>0</xdr:row>
      <xdr:rowOff>503469</xdr:rowOff>
    </xdr:to>
    <xdr:pic>
      <xdr:nvPicPr>
        <xdr:cNvPr id="2" name="Grafik 1">
          <a:extLst>
            <a:ext uri="{FF2B5EF4-FFF2-40B4-BE49-F238E27FC236}">
              <a16:creationId xmlns:a16="http://schemas.microsoft.com/office/drawing/2014/main" id="{6ADE1A8F-BEF4-4669-A2F4-C633255A554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42900" y="190500"/>
          <a:ext cx="2367335" cy="3129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0</xdr:row>
      <xdr:rowOff>180975</xdr:rowOff>
    </xdr:from>
    <xdr:to>
      <xdr:col>1</xdr:col>
      <xdr:colOff>2491160</xdr:colOff>
      <xdr:row>0</xdr:row>
      <xdr:rowOff>493944</xdr:rowOff>
    </xdr:to>
    <xdr:pic>
      <xdr:nvPicPr>
        <xdr:cNvPr id="2" name="Grafik 1">
          <a:extLst>
            <a:ext uri="{FF2B5EF4-FFF2-40B4-BE49-F238E27FC236}">
              <a16:creationId xmlns:a16="http://schemas.microsoft.com/office/drawing/2014/main" id="{7C10ADF4-6E71-46CB-BFB9-0E6F87B18F9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38150" y="180975"/>
          <a:ext cx="2367335" cy="3129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ttps://mst239701.sharepoint.com/sites/Files/01Daten/03_Zertifizierung/01_Dokumente/05_Minergie-Areal/04_Hilfstools_Vorlagen/01_G&#252;ltig/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I27"/>
  <sheetViews>
    <sheetView showGridLines="0" tabSelected="1" zoomScaleNormal="100" zoomScalePageLayoutView="70" workbookViewId="0">
      <selection activeCell="D15" sqref="D15"/>
    </sheetView>
  </sheetViews>
  <sheetFormatPr baseColWidth="10" defaultColWidth="11.453125" defaultRowHeight="14" x14ac:dyDescent="0.3"/>
  <cols>
    <col min="1" max="1" width="2.1796875" style="29" customWidth="1"/>
    <col min="2" max="2" width="53" style="29" customWidth="1"/>
    <col min="3" max="3" width="19.7265625" style="29" bestFit="1" customWidth="1"/>
    <col min="4" max="4" width="28" style="29" customWidth="1"/>
    <col min="5" max="5" width="4.7265625" style="29" customWidth="1"/>
    <col min="6" max="6" width="17.54296875" style="29" customWidth="1"/>
    <col min="7" max="7" width="16.81640625" style="29" customWidth="1"/>
    <col min="8" max="16384" width="11.453125" style="29"/>
  </cols>
  <sheetData>
    <row r="1" spans="2:35" s="9" customFormat="1" ht="54" customHeight="1" x14ac:dyDescent="0.25">
      <c r="B1" s="23"/>
      <c r="C1" s="219" t="str">
        <f>Uebersetzungen!D24</f>
        <v xml:space="preserve">B1.4 Garantire un’elevata densità di utilizzo </v>
      </c>
      <c r="D1" s="219"/>
      <c r="E1" s="166"/>
      <c r="F1" s="220" t="str">
        <f>Uebersetzungen!$D$11&amp;" "&amp;Uebersetzungen!$D$82&amp;" "&amp;Uebersetzungen!$C$2&amp;"."&amp;Uebersetzungen!$A$2</f>
        <v>Strumento di verifica requisiti facoltativi Versione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32"/>
    </row>
    <row r="7" spans="2:35" s="30" customFormat="1" ht="24.75" customHeight="1" x14ac:dyDescent="0.3">
      <c r="B7" s="46" t="str">
        <f>Uebersetzungen!D78</f>
        <v>Indicazioni sulla densità di utilizzo</v>
      </c>
      <c r="E7" s="29"/>
    </row>
    <row r="8" spans="2:35" s="63" customFormat="1" ht="28" customHeight="1" x14ac:dyDescent="0.3">
      <c r="B8" s="79" t="str">
        <f>Uebersetzungen!D71</f>
        <v xml:space="preserve">AE totale </v>
      </c>
      <c r="C8" s="157" t="s">
        <v>141</v>
      </c>
      <c r="D8" s="108"/>
      <c r="E8" s="29"/>
    </row>
    <row r="9" spans="2:35" s="63" customFormat="1" ht="28" customHeight="1" x14ac:dyDescent="0.3">
      <c r="B9" s="109"/>
      <c r="C9" s="110"/>
      <c r="D9" s="111"/>
      <c r="E9" s="29"/>
    </row>
    <row r="10" spans="2:35" s="52" customFormat="1" ht="28" customHeight="1" x14ac:dyDescent="0.3">
      <c r="B10" s="109" t="str">
        <f>Uebersetzungen!D67</f>
        <v>Categoria di edificio maggiore in termini di superficie</v>
      </c>
      <c r="C10" s="86"/>
      <c r="D10" s="172"/>
      <c r="E10" s="29"/>
      <c r="F10" s="222" t="str">
        <f>IFERROR(IF(D11/D8&gt;=80%,Uebersetzungen!D23,""),"")</f>
        <v/>
      </c>
      <c r="G10" s="222"/>
    </row>
    <row r="11" spans="2:35" s="52" customFormat="1" ht="28" customHeight="1" x14ac:dyDescent="0.3">
      <c r="B11" s="84" t="str">
        <f>Uebersetzungen!D68</f>
        <v>AE totale della categoria di edificio maggiore</v>
      </c>
      <c r="C11" s="165" t="s">
        <v>141</v>
      </c>
      <c r="D11" s="98"/>
      <c r="E11" s="29"/>
      <c r="F11" s="222"/>
      <c r="G11" s="222"/>
    </row>
    <row r="12" spans="2:35" s="52" customFormat="1" ht="28" customHeight="1" x14ac:dyDescent="0.3">
      <c r="B12" s="84" t="str">
        <f>IFERROR(VLOOKUP(D10,Listen!$B$14:$F$19,3,),"")</f>
        <v/>
      </c>
      <c r="C12" s="83" t="str">
        <f>IF(D10=Listen!$B$16,Uebersetzungen!$D$63,"")</f>
        <v/>
      </c>
      <c r="D12" s="98"/>
      <c r="E12" s="29"/>
      <c r="F12" s="222"/>
      <c r="G12" s="222"/>
    </row>
    <row r="13" spans="2:35" s="52" customFormat="1" ht="28" customHeight="1" x14ac:dyDescent="0.3">
      <c r="B13" s="84" t="str">
        <f>IF(D10=Listen!B$16,Listen!F$16,"")</f>
        <v/>
      </c>
      <c r="C13" s="112" t="str">
        <f>IF(D10=Listen!B$16,Uebersetzungen!$D$63,"")</f>
        <v/>
      </c>
      <c r="D13" s="113"/>
      <c r="E13" s="29"/>
      <c r="F13" s="222"/>
      <c r="G13" s="222"/>
    </row>
    <row r="14" spans="2:35" s="52" customFormat="1" ht="28" customHeight="1" x14ac:dyDescent="0.3">
      <c r="B14" s="84"/>
      <c r="C14" s="83"/>
      <c r="D14" s="114"/>
      <c r="E14" s="29"/>
      <c r="G14" s="115"/>
    </row>
    <row r="15" spans="2:35" s="52" customFormat="1" ht="28" customHeight="1" x14ac:dyDescent="0.3">
      <c r="B15" s="84" t="str">
        <f>Uebersetzungen!D69</f>
        <v>Seconda maggiore categoria di edificio in termini di superficie</v>
      </c>
      <c r="C15" s="83"/>
      <c r="D15" s="173"/>
      <c r="E15" s="29"/>
    </row>
    <row r="16" spans="2:35" s="52" customFormat="1" ht="28" customHeight="1" x14ac:dyDescent="0.3">
      <c r="B16" s="84" t="str">
        <f>Uebersetzungen!D70</f>
        <v xml:space="preserve">AE totale della seconda maggiore categoria di edificio </v>
      </c>
      <c r="C16" s="165" t="s">
        <v>141</v>
      </c>
      <c r="D16" s="98"/>
      <c r="E16" s="29"/>
    </row>
    <row r="17" spans="2:7" s="52" customFormat="1" ht="28" customHeight="1" x14ac:dyDescent="0.3">
      <c r="B17" s="84" t="str">
        <f>IFERROR(VLOOKUP(D15,Listen!$B$14:$F$19,3,),"")</f>
        <v/>
      </c>
      <c r="C17" s="83" t="str">
        <f>IF(D15=Listen!$B$16,Uebersetzungen!$D$63,"")</f>
        <v/>
      </c>
      <c r="D17" s="98"/>
      <c r="E17" s="29"/>
    </row>
    <row r="18" spans="2:7" s="52" customFormat="1" ht="28" customHeight="1" x14ac:dyDescent="0.3">
      <c r="B18" s="76" t="str">
        <f>IF(D15=Listen!B$16,Listen!F$16,"")</f>
        <v/>
      </c>
      <c r="C18" s="116" t="str">
        <f>IF(D15=Listen!B$16,Uebersetzungen!$D$63,"")</f>
        <v/>
      </c>
      <c r="D18" s="117"/>
      <c r="E18" s="29"/>
    </row>
    <row r="19" spans="2:7" ht="15.4" customHeight="1" x14ac:dyDescent="0.3"/>
    <row r="20" spans="2:7" ht="15.4" customHeight="1" x14ac:dyDescent="0.3">
      <c r="B20" s="47" t="str">
        <f>Uebersetzungen!D79</f>
        <v xml:space="preserve">Risultati </v>
      </c>
    </row>
    <row r="21" spans="2:7" s="63" customFormat="1" ht="28" customHeight="1" x14ac:dyDescent="0.35">
      <c r="B21" s="78"/>
      <c r="C21" s="169"/>
      <c r="D21" s="170" t="str">
        <f>Uebersetzungen!$D$106</f>
        <v>Valore di progetto</v>
      </c>
      <c r="E21" s="223" t="str">
        <f>Uebersetzungen!$D$107</f>
        <v>Requisito</v>
      </c>
      <c r="F21" s="224"/>
      <c r="G21" s="171" t="str">
        <f>Uebersetzungen!$D$108</f>
        <v>Soddisfatto?</v>
      </c>
    </row>
    <row r="22" spans="2:7" s="52" customFormat="1" ht="28" customHeight="1" x14ac:dyDescent="0.35">
      <c r="B22" s="176" t="str">
        <f>B10</f>
        <v>Categoria di edificio maggiore in termini di superficie</v>
      </c>
      <c r="C22" s="174"/>
      <c r="D22" s="118"/>
      <c r="E22" s="193"/>
      <c r="F22" s="86"/>
      <c r="G22" s="119"/>
    </row>
    <row r="23" spans="2:7" s="52" customFormat="1" ht="28" customHeight="1" x14ac:dyDescent="0.35">
      <c r="B23" s="84" t="str">
        <f>IF(ISBLANK(D10),"",D10)</f>
        <v/>
      </c>
      <c r="C23" s="175" t="str">
        <f>IF(ISBLANK(D10),"",C11&amp;"/"&amp;B12)</f>
        <v/>
      </c>
      <c r="D23" s="122" t="str">
        <f>IFERROR($D$11/D12,"-")</f>
        <v>-</v>
      </c>
      <c r="E23" s="194" t="s">
        <v>144</v>
      </c>
      <c r="F23" s="191" t="str">
        <f>IF(ISBLANK(D10),"-",VLOOKUP(D10,Listen!$B$14:$F$19,2,0))</f>
        <v>-</v>
      </c>
      <c r="G23" s="121" t="str">
        <f>IF(ISBLANK(D10),"-",IF(D23&lt;=F23,Uebersetzungen!$D$64,Uebersetzungen!$D$65))</f>
        <v>-</v>
      </c>
    </row>
    <row r="24" spans="2:7" s="52" customFormat="1" ht="28" customHeight="1" x14ac:dyDescent="0.35">
      <c r="B24" s="84"/>
      <c r="C24" s="175" t="str">
        <f>IF('B1.4'!D10=Listen!$B$16,C11&amp;"/"&amp;'B1.4'!B13,"")</f>
        <v/>
      </c>
      <c r="D24" s="122" t="str">
        <f>IF(D10=Listen!$B$16,IFERROR($D$11/D13,"-"),"")</f>
        <v/>
      </c>
      <c r="E24" s="194" t="str">
        <f>IF(D24="","","≤")</f>
        <v/>
      </c>
      <c r="F24" s="191" t="str">
        <f>IF(D10=Listen!$B$16,VLOOKUP(D10,Listen!$B$14:$F$19,4,0),"")</f>
        <v/>
      </c>
      <c r="G24" s="120" t="str">
        <f>IF(D10=Listen!$B$16,IF(D24&lt;=F24,Uebersetzungen!$D$64,Uebersetzungen!$D$65),"")</f>
        <v/>
      </c>
    </row>
    <row r="25" spans="2:7" s="52" customFormat="1" ht="28" customHeight="1" x14ac:dyDescent="0.35">
      <c r="B25" s="177" t="str">
        <f>B15</f>
        <v>Seconda maggiore categoria di edificio in termini di superficie</v>
      </c>
      <c r="C25" s="175"/>
      <c r="D25" s="122"/>
      <c r="E25" s="194"/>
      <c r="F25" s="191"/>
      <c r="G25" s="114"/>
    </row>
    <row r="26" spans="2:7" s="52" customFormat="1" ht="28" customHeight="1" x14ac:dyDescent="0.35">
      <c r="B26" s="84" t="str">
        <f>IF(ISBLANK(D15),"",D15)</f>
        <v/>
      </c>
      <c r="C26" s="175" t="str">
        <f>IF(ISBLANK(D15),"",C16&amp;"/"&amp;B17)</f>
        <v/>
      </c>
      <c r="D26" s="122" t="str">
        <f>IFERROR($D$16/D17,"-")</f>
        <v>-</v>
      </c>
      <c r="E26" s="194" t="s">
        <v>144</v>
      </c>
      <c r="F26" s="191" t="str">
        <f>IF(ISBLANK(D15),"-",VLOOKUP(D15,Listen!$B$14:$F$19,2,0))</f>
        <v>-</v>
      </c>
      <c r="G26" s="121" t="str">
        <f>IF(ISBLANK(D15),"-",IF(D26&lt;=F26,Uebersetzungen!$D$64,Uebersetzungen!$D$65))</f>
        <v>-</v>
      </c>
    </row>
    <row r="27" spans="2:7" s="52" customFormat="1" ht="28" customHeight="1" x14ac:dyDescent="0.35">
      <c r="B27" s="76"/>
      <c r="C27" s="73" t="str">
        <f>IF('B1.4'!D15=Listen!$B$16,C16&amp;"/"&amp;'B1.4'!B18,"")</f>
        <v/>
      </c>
      <c r="D27" s="90" t="str">
        <f>IF(D15=Listen!$B$16,IFERROR($D$16/D18,"-"),"")</f>
        <v/>
      </c>
      <c r="E27" s="195" t="str">
        <f>IF(D27="","","≤")</f>
        <v/>
      </c>
      <c r="F27" s="192" t="str">
        <f>IF(D15=Listen!$B$16,VLOOKUP(D15,Listen!$B$14:$F$19,4,0),"")</f>
        <v/>
      </c>
      <c r="G27" s="89" t="str">
        <f>IF(D15=Listen!$B$16,IF(D27&lt;=F27,Uebersetzungen!$D$64,Uebersetzungen!$D$65),"")</f>
        <v/>
      </c>
    </row>
  </sheetData>
  <sheetProtection algorithmName="SHA-512" hashValue="odh9f/upuGW0phZ3/943+9DPzu0eyRj+cdH9HWGWGimZ/rRu8NI00ZL3mjBBcVV1mPk7BQRpR8FXvD2z6FFfTA==" saltValue="8luxgQAWWAmQjxHKEJOtMQ==" spinCount="100000" sheet="1" objects="1" scenarios="1" selectLockedCells="1"/>
  <mergeCells count="4">
    <mergeCell ref="C1:D1"/>
    <mergeCell ref="F1:G1"/>
    <mergeCell ref="F10:G13"/>
    <mergeCell ref="E21:F21"/>
  </mergeCells>
  <dataValidations count="1">
    <dataValidation type="list" allowBlank="1" showInputMessage="1" showErrorMessage="1" sqref="D15 D10" xr:uid="{AE1709B0-B5D6-4514-98BC-089EF1169CF9}">
      <formula1>LSTB14</formula1>
    </dataValidation>
  </dataValidation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G23:G24 G26:G27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G24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G27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9.81640625" style="29" customWidth="1"/>
    <col min="3" max="3" width="7.1796875" style="29" customWidth="1"/>
    <col min="4" max="4" width="16.1796875" style="29" customWidth="1"/>
    <col min="5" max="5" width="4" style="29" customWidth="1"/>
    <col min="6" max="6" width="13" style="29" customWidth="1"/>
    <col min="7" max="7" width="15.7265625" style="29" customWidth="1"/>
    <col min="8" max="16384" width="11.453125" style="29"/>
  </cols>
  <sheetData>
    <row r="1" spans="2:35" s="9" customFormat="1" ht="54" customHeight="1" x14ac:dyDescent="0.25">
      <c r="B1" s="23"/>
      <c r="C1" s="219" t="str">
        <f>Uebersetzungen!D25</f>
        <v>B1.5 Visualizzazione delle grandezze misurabili per gli utenti</v>
      </c>
      <c r="D1" s="219"/>
      <c r="E1" s="166"/>
      <c r="F1" s="220" t="str">
        <f>Uebersetzungen!$D$11&amp;" "&amp;Uebersetzungen!$D$82&amp;" "&amp;Uebersetzungen!$C$2&amp;"."&amp;Uebersetzungen!$A$2</f>
        <v>Strumento di verifica requisiti facoltativi Versione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24.75" customHeight="1" x14ac:dyDescent="0.3">
      <c r="B7" s="47" t="str">
        <f>Uebersetzungen!D93</f>
        <v>Indicazioni sulla visualizzazione</v>
      </c>
    </row>
    <row r="8" spans="2:35" s="30" customFormat="1" ht="28" customHeight="1" x14ac:dyDescent="0.35">
      <c r="B8" s="79" t="str">
        <f>Uebersetzungen!D94</f>
        <v>Totale di superficie di riferimento energetico a utilizzo abitativo (categorie di edificio I + II)</v>
      </c>
      <c r="C8" s="157" t="s">
        <v>141</v>
      </c>
      <c r="D8" s="68"/>
      <c r="E8" s="186"/>
    </row>
    <row r="9" spans="2:35" s="63" customFormat="1" ht="28" customHeight="1" x14ac:dyDescent="0.35">
      <c r="B9" s="76" t="str">
        <f>Uebersetzungen!D95</f>
        <v>Superficie di riferimento energetico a utilizzo residenziale con visualizzazione delle grandezze misurate</v>
      </c>
      <c r="C9" s="158" t="s">
        <v>141</v>
      </c>
      <c r="D9" s="69"/>
      <c r="E9" s="186"/>
      <c r="F9" s="65"/>
    </row>
    <row r="10" spans="2:35" ht="30" customHeight="1" x14ac:dyDescent="0.3">
      <c r="B10" s="47" t="str">
        <f>Uebersetzungen!D79</f>
        <v xml:space="preserve">Risultati </v>
      </c>
      <c r="C10" s="66"/>
      <c r="D10" s="66"/>
      <c r="E10" s="66"/>
      <c r="F10" s="66"/>
    </row>
    <row r="11" spans="2:35" ht="28" customHeight="1" x14ac:dyDescent="0.3">
      <c r="B11" s="80"/>
      <c r="C11" s="31"/>
      <c r="D11" s="178" t="str">
        <f>Uebersetzungen!$D$106</f>
        <v>Valore di progetto</v>
      </c>
      <c r="E11" s="225" t="str">
        <f>Uebersetzungen!$D$107</f>
        <v>Requisito</v>
      </c>
      <c r="F11" s="226"/>
      <c r="G11" s="179" t="str">
        <f>Uebersetzungen!$D$108</f>
        <v>Soddisfatto?</v>
      </c>
    </row>
    <row r="12" spans="2:35" s="63" customFormat="1" ht="28" customHeight="1" x14ac:dyDescent="0.35">
      <c r="B12" s="76" t="str">
        <f>Uebersetzungen!D96</f>
        <v>Percentuale di utilizzo residenziale con visualizzazione delle grandezze misurate</v>
      </c>
      <c r="C12" s="81"/>
      <c r="D12" s="82" t="str">
        <f>IFERROR(D9/D8,"-")</f>
        <v>-</v>
      </c>
      <c r="E12" s="190" t="s">
        <v>398</v>
      </c>
      <c r="F12" s="189">
        <f>1/3</f>
        <v>0.33333333333333331</v>
      </c>
      <c r="G12" s="124" t="str">
        <f>IF(D12="-","-",IF(D12&gt;=F12,Uebersetzungen!$D$64,Uebersetzungen!$D$65))</f>
        <v>-</v>
      </c>
    </row>
    <row r="15" spans="2:35" x14ac:dyDescent="0.3">
      <c r="B15" s="30"/>
      <c r="C15" s="30"/>
      <c r="D15" s="30"/>
      <c r="E15" s="30"/>
    </row>
  </sheetData>
  <sheetProtection algorithmName="SHA-512" hashValue="+5blBPhUzNVGrGzr2C/kJmj6ytg+3wmf3A9rGF+rXS/9wOPeQkN9G/IDK9y05lm9wlBA/P5QlO3okmcUwzuXzA==" saltValue="2RCAX9BfYSsAe/rBsHza2A=="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codeName="Tabelle12">
    <pageSetUpPr fitToPage="1"/>
  </sheetPr>
  <dimension ref="B1:M27"/>
  <sheetViews>
    <sheetView showGridLines="0" zoomScaleNormal="100" zoomScalePageLayoutView="70" workbookViewId="0">
      <selection activeCell="D8" sqref="D8"/>
    </sheetView>
  </sheetViews>
  <sheetFormatPr baseColWidth="10" defaultColWidth="23.7265625" defaultRowHeight="14" x14ac:dyDescent="0.3"/>
  <cols>
    <col min="1" max="1" width="2.1796875" style="29" customWidth="1"/>
    <col min="2" max="2" width="37.54296875" style="29" customWidth="1"/>
    <col min="3" max="3" width="49.81640625" style="29" customWidth="1"/>
    <col min="4" max="16384" width="23.7265625" style="29"/>
  </cols>
  <sheetData>
    <row r="1" spans="2:13" s="9" customFormat="1" ht="54" customHeight="1" x14ac:dyDescent="0.25">
      <c r="B1" s="23"/>
      <c r="C1" s="149" t="str">
        <f>Uebersetzungen!D28</f>
        <v xml:space="preserve">C2.2 Utilizzo di risorse locali </v>
      </c>
      <c r="D1" s="162"/>
      <c r="E1" s="147"/>
      <c r="F1" s="147"/>
      <c r="G1" s="148"/>
      <c r="H1" s="148"/>
      <c r="I1" s="148"/>
      <c r="J1" s="148"/>
      <c r="K1" s="148"/>
      <c r="L1" s="220" t="str">
        <f>Uebersetzungen!$D$11&amp;" "&amp;Uebersetzungen!$D$82&amp;" "&amp;Uebersetzungen!$C$2&amp;"."&amp;Uebersetzungen!$A$2</f>
        <v>Strumento di verifica requisiti facoltativi Versione 2025.1</v>
      </c>
      <c r="M1" s="221"/>
    </row>
    <row r="2" spans="2:13" s="9" customFormat="1" ht="16.149999999999999" customHeight="1" x14ac:dyDescent="0.25">
      <c r="B2" s="26"/>
      <c r="C2" s="26"/>
      <c r="D2" s="27"/>
      <c r="E2" s="28"/>
      <c r="F2" s="28"/>
      <c r="G2" s="20"/>
      <c r="H2" s="20"/>
      <c r="I2" s="20"/>
      <c r="J2" s="20"/>
      <c r="K2" s="20"/>
      <c r="L2" s="20"/>
      <c r="M2" s="20"/>
    </row>
    <row r="3" spans="2:13" s="45" customFormat="1" ht="15" customHeight="1" x14ac:dyDescent="0.3">
      <c r="B3" s="33" t="str">
        <f>Uebersetzungen!D15</f>
        <v>Richiesta</v>
      </c>
      <c r="C3" s="48"/>
      <c r="D3" s="34"/>
      <c r="F3" s="29"/>
      <c r="G3" s="36"/>
      <c r="H3" s="37"/>
      <c r="I3" s="38"/>
      <c r="J3" s="36"/>
      <c r="K3" s="39"/>
      <c r="L3" s="39"/>
      <c r="M3" s="39"/>
    </row>
    <row r="4" spans="2:13" s="38" customFormat="1" ht="6" customHeight="1" x14ac:dyDescent="0.3">
      <c r="B4" s="48"/>
      <c r="C4" s="48"/>
      <c r="D4" s="34"/>
      <c r="E4" s="48"/>
      <c r="F4" s="29"/>
      <c r="G4" s="36"/>
      <c r="H4" s="37"/>
      <c r="J4" s="36"/>
      <c r="K4" s="37"/>
      <c r="L4" s="37"/>
      <c r="M4" s="37"/>
    </row>
    <row r="5" spans="2:13" ht="15" customHeight="1" x14ac:dyDescent="0.3">
      <c r="B5" s="35" t="str">
        <f>Uebersetzungen!D20</f>
        <v>Campo di selezione</v>
      </c>
      <c r="C5" s="48"/>
    </row>
    <row r="6" spans="2:13" x14ac:dyDescent="0.3">
      <c r="B6" s="48"/>
      <c r="C6" s="48"/>
    </row>
    <row r="7" spans="2:13" s="30" customFormat="1" ht="24.75" customHeight="1" x14ac:dyDescent="0.3">
      <c r="B7" s="47"/>
      <c r="C7" s="47"/>
    </row>
    <row r="8" spans="2:13" s="30" customFormat="1" ht="19.5" customHeight="1" x14ac:dyDescent="0.35">
      <c r="B8" s="85" t="str">
        <f>Uebersetzungen!D124</f>
        <v>Numero totale di edifici nel quartiere</v>
      </c>
      <c r="C8" s="156"/>
      <c r="D8" s="152"/>
    </row>
    <row r="9" spans="2:13" ht="38.25" customHeight="1" x14ac:dyDescent="0.3">
      <c r="B9" s="47"/>
      <c r="C9" s="47"/>
      <c r="D9" s="66"/>
      <c r="E9" s="66"/>
    </row>
    <row r="10" spans="2:13" x14ac:dyDescent="0.3">
      <c r="B10" s="128" t="str">
        <f>Uebersetzungen!D123</f>
        <v>Indicazioni sugli edifici che utilizzano risorse locali</v>
      </c>
      <c r="C10" s="128"/>
      <c r="D10" s="132"/>
      <c r="E10" s="132"/>
      <c r="F10" s="132"/>
      <c r="G10" s="132"/>
      <c r="H10" s="132"/>
      <c r="I10" s="132"/>
      <c r="J10" s="132"/>
      <c r="K10" s="132"/>
      <c r="L10" s="132"/>
      <c r="M10" s="132"/>
    </row>
    <row r="11" spans="2:13" s="63" customFormat="1" ht="28" customHeight="1" x14ac:dyDescent="0.35">
      <c r="B11" s="130" t="str">
        <f>Uebersetzungen!D125</f>
        <v>Designazione dell'edificio</v>
      </c>
      <c r="C11" s="157"/>
      <c r="D11" s="129"/>
      <c r="E11" s="129"/>
      <c r="F11" s="129"/>
      <c r="G11" s="129"/>
      <c r="H11" s="129"/>
      <c r="I11" s="129"/>
      <c r="J11" s="129"/>
      <c r="K11" s="129"/>
      <c r="L11" s="129"/>
      <c r="M11" s="131"/>
    </row>
    <row r="12" spans="2:13" ht="28" customHeight="1" x14ac:dyDescent="0.3">
      <c r="B12" s="138" t="str">
        <f>Uebersetzungen!D126</f>
        <v>Tipo di edificazione</v>
      </c>
      <c r="C12" s="158"/>
      <c r="D12" s="150"/>
      <c r="E12" s="150"/>
      <c r="F12" s="150"/>
      <c r="G12" s="150"/>
      <c r="H12" s="150"/>
      <c r="I12" s="150"/>
      <c r="J12" s="150"/>
      <c r="K12" s="150"/>
      <c r="L12" s="150"/>
      <c r="M12" s="151"/>
    </row>
    <row r="13" spans="2:13" ht="33.75" customHeight="1" x14ac:dyDescent="0.3">
      <c r="B13" s="128" t="str">
        <f>Uebersetzungen!D137</f>
        <v>Gruppi di componenti costruttivi</v>
      </c>
      <c r="C13" s="128" t="str">
        <f>Uebersetzungen!D129</f>
        <v>Strati / componenti principali</v>
      </c>
      <c r="D13" s="164" t="str">
        <f>Uebersetzungen!D138</f>
        <v>Per favore crociare se almeno uno degli strati / delle componenti principali è locale</v>
      </c>
      <c r="E13" s="163"/>
      <c r="F13" s="163"/>
      <c r="G13" s="163"/>
      <c r="H13" s="163"/>
      <c r="I13" s="163"/>
      <c r="J13" s="163"/>
      <c r="K13" s="163"/>
      <c r="L13" s="163"/>
      <c r="M13" s="163"/>
    </row>
    <row r="14" spans="2:13" ht="28" customHeight="1" x14ac:dyDescent="0.3">
      <c r="B14" s="155" t="str">
        <f>Uebersetzungen!D114</f>
        <v>Scavo / sistemazione del paesaggio</v>
      </c>
      <c r="C14" s="159" t="str">
        <f>Uebersetzungen!D130</f>
        <v>Rinterro, riempimento, installazione di terreno aggiunto, pavimentazione</v>
      </c>
      <c r="D14" s="153"/>
      <c r="E14" s="153"/>
      <c r="F14" s="153"/>
      <c r="G14" s="153"/>
      <c r="H14" s="153"/>
      <c r="I14" s="153"/>
      <c r="J14" s="153"/>
      <c r="K14" s="153"/>
      <c r="L14" s="153"/>
      <c r="M14" s="154"/>
    </row>
    <row r="15" spans="2:13" ht="28" customHeight="1" x14ac:dyDescent="0.3">
      <c r="B15" s="137" t="str">
        <f>Uebersetzungen!D115</f>
        <v>Facciata</v>
      </c>
      <c r="C15" s="159" t="str">
        <f>Uebersetzungen!D131</f>
        <v>Elemento portante, isolamento, rivestimento esterno, rivestimento interno</v>
      </c>
      <c r="D15" s="145"/>
      <c r="E15" s="145"/>
      <c r="F15" s="145"/>
      <c r="G15" s="145"/>
      <c r="H15" s="145"/>
      <c r="I15" s="145"/>
      <c r="J15" s="145"/>
      <c r="K15" s="145"/>
      <c r="L15" s="145"/>
      <c r="M15" s="146"/>
    </row>
    <row r="16" spans="2:13" ht="28" customHeight="1" x14ac:dyDescent="0.3">
      <c r="B16" s="137" t="str">
        <f>Uebersetzungen!D116</f>
        <v>Soletta</v>
      </c>
      <c r="C16" s="159" t="str">
        <f>Uebersetzungen!D132</f>
        <v>Elemento portante, rivestimento del pavimento compreso il sottofondo, rivestimento del soffitto</v>
      </c>
      <c r="D16" s="145"/>
      <c r="E16" s="145"/>
      <c r="F16" s="145"/>
      <c r="G16" s="145"/>
      <c r="H16" s="145"/>
      <c r="I16" s="145"/>
      <c r="J16" s="145"/>
      <c r="K16" s="145"/>
      <c r="L16" s="145"/>
      <c r="M16" s="146"/>
    </row>
    <row r="17" spans="2:13" ht="28" customHeight="1" x14ac:dyDescent="0.3">
      <c r="B17" s="137" t="str">
        <f>Uebersetzungen!D117</f>
        <v>Pareti interne</v>
      </c>
      <c r="C17" s="159" t="str">
        <f>Uebersetzungen!D133</f>
        <v>Elemento portante, rivestimento delle pareti</v>
      </c>
      <c r="D17" s="145"/>
      <c r="E17" s="145"/>
      <c r="F17" s="145"/>
      <c r="G17" s="145"/>
      <c r="H17" s="145"/>
      <c r="I17" s="145"/>
      <c r="J17" s="145"/>
      <c r="K17" s="145"/>
      <c r="L17" s="145"/>
      <c r="M17" s="146"/>
    </row>
    <row r="18" spans="2:13" ht="28" customHeight="1" x14ac:dyDescent="0.3">
      <c r="B18" s="137" t="str">
        <f>Uebersetzungen!D118</f>
        <v xml:space="preserve">Tetto </v>
      </c>
      <c r="C18" s="159" t="str">
        <f>Uebersetzungen!D134</f>
        <v>Elemento portante, isolamento, copertura / strato di protezione e impermeabilizzazione, rivestimento interno</v>
      </c>
      <c r="D18" s="145"/>
      <c r="E18" s="145"/>
      <c r="F18" s="145"/>
      <c r="G18" s="145"/>
      <c r="H18" s="145"/>
      <c r="I18" s="145"/>
      <c r="J18" s="145"/>
      <c r="K18" s="145"/>
      <c r="L18" s="145"/>
      <c r="M18" s="146"/>
    </row>
    <row r="19" spans="2:13" ht="28" customHeight="1" x14ac:dyDescent="0.3">
      <c r="B19" s="137" t="str">
        <f>Uebersetzungen!D119</f>
        <v>Platea / fondazioni / pareti esterne contro terreno</v>
      </c>
      <c r="C19" s="159" t="str">
        <f>Uebersetzungen!D135</f>
        <v>Elemento portante, isolamento</v>
      </c>
      <c r="D19" s="145"/>
      <c r="E19" s="145"/>
      <c r="F19" s="145"/>
      <c r="G19" s="145"/>
      <c r="H19" s="145"/>
      <c r="I19" s="145"/>
      <c r="J19" s="145"/>
      <c r="K19" s="145"/>
      <c r="L19" s="145"/>
      <c r="M19" s="146"/>
    </row>
    <row r="20" spans="2:13" ht="28" customHeight="1" x14ac:dyDescent="0.3">
      <c r="B20" s="144" t="str">
        <f>Uebersetzungen!D120</f>
        <v>Finestre e porte</v>
      </c>
      <c r="C20" s="159" t="str">
        <f>Uebersetzungen!D136</f>
        <v>Telaio, battente</v>
      </c>
      <c r="D20" s="150"/>
      <c r="E20" s="150"/>
      <c r="F20" s="150"/>
      <c r="G20" s="150"/>
      <c r="H20" s="150"/>
      <c r="I20" s="150"/>
      <c r="J20" s="150"/>
      <c r="K20" s="150"/>
      <c r="L20" s="150"/>
      <c r="M20" s="151"/>
    </row>
    <row r="21" spans="2:13" ht="28" customHeight="1" x14ac:dyDescent="0.3">
      <c r="B21" s="130" t="str">
        <f>Uebersetzungen!D127&amp;", "&amp;Uebersetzungen!D106</f>
        <v>Numero di gruppi di componenti costruttive locali, Valore di progetto</v>
      </c>
      <c r="C21" s="157"/>
      <c r="D21" s="133">
        <f>COUNTA(D14:D20)</f>
        <v>0</v>
      </c>
      <c r="E21" s="133">
        <f t="shared" ref="E21:M21" si="0">COUNTA(E14:E20)</f>
        <v>0</v>
      </c>
      <c r="F21" s="133">
        <f t="shared" si="0"/>
        <v>0</v>
      </c>
      <c r="G21" s="133">
        <f t="shared" si="0"/>
        <v>0</v>
      </c>
      <c r="H21" s="133">
        <f t="shared" si="0"/>
        <v>0</v>
      </c>
      <c r="I21" s="133">
        <f t="shared" si="0"/>
        <v>0</v>
      </c>
      <c r="J21" s="133">
        <f t="shared" si="0"/>
        <v>0</v>
      </c>
      <c r="K21" s="133">
        <f t="shared" si="0"/>
        <v>0</v>
      </c>
      <c r="L21" s="133">
        <f t="shared" si="0"/>
        <v>0</v>
      </c>
      <c r="M21" s="134">
        <f t="shared" si="0"/>
        <v>0</v>
      </c>
    </row>
    <row r="22" spans="2:13" ht="28" customHeight="1" x14ac:dyDescent="0.3">
      <c r="B22" s="138" t="str">
        <f>Uebersetzungen!D127&amp;", "&amp;Uebersetzungen!D107</f>
        <v>Numero di gruppi di componenti costruttive locali, Requisito</v>
      </c>
      <c r="C22" s="158"/>
      <c r="D22" s="135" t="str">
        <f>IF(D$12=Listen!$B$47,4,IF(D$12=Listen!$B$48,2,"-"))</f>
        <v>-</v>
      </c>
      <c r="E22" s="135" t="str">
        <f>IF(E$12=Listen!$B$47,4,IF(E$12=Listen!$B$48,2,"-"))</f>
        <v>-</v>
      </c>
      <c r="F22" s="135" t="str">
        <f>IF(F$12=Listen!$B$47,4,IF(F$12=Listen!$B$48,2,"-"))</f>
        <v>-</v>
      </c>
      <c r="G22" s="135" t="str">
        <f>IF(G$12=Listen!$B$47,4,IF(G$12=Listen!$B$48,2,"-"))</f>
        <v>-</v>
      </c>
      <c r="H22" s="135" t="str">
        <f>IF(H$12=Listen!$B$47,4,IF(H$12=Listen!$B$48,2,"-"))</f>
        <v>-</v>
      </c>
      <c r="I22" s="135" t="str">
        <f>IF(I$12=Listen!$B$47,4,IF(I$12=Listen!$B$48,2,"-"))</f>
        <v>-</v>
      </c>
      <c r="J22" s="135" t="str">
        <f>IF(J$12=Listen!$B$47,4,IF(J$12=Listen!$B$48,2,"-"))</f>
        <v>-</v>
      </c>
      <c r="K22" s="135" t="str">
        <f>IF(K$12=Listen!$B$47,4,IF(K$12=Listen!$B$48,2,"-"))</f>
        <v>-</v>
      </c>
      <c r="L22" s="135" t="str">
        <f>IF(L$12=Listen!$B$47,4,IF(L$12=Listen!$B$48,2,"-"))</f>
        <v>-</v>
      </c>
      <c r="M22" s="136" t="str">
        <f>IF(M$12=Listen!$B$47,4,IF(M$12=Listen!$B$48,2,"-"))</f>
        <v>-</v>
      </c>
    </row>
    <row r="23" spans="2:13" x14ac:dyDescent="0.3">
      <c r="D23" s="127"/>
      <c r="E23" s="127"/>
      <c r="F23" s="127"/>
      <c r="G23" s="127"/>
      <c r="H23" s="127"/>
      <c r="I23" s="127"/>
      <c r="J23" s="127"/>
      <c r="K23" s="127"/>
      <c r="L23" s="127"/>
      <c r="M23" s="127"/>
    </row>
    <row r="24" spans="2:13" ht="63" customHeight="1" x14ac:dyDescent="0.3">
      <c r="B24" s="47" t="str">
        <f>Uebersetzungen!D79</f>
        <v xml:space="preserve">Risultati </v>
      </c>
      <c r="C24" s="47"/>
      <c r="D24" s="66"/>
      <c r="E24" s="66"/>
    </row>
    <row r="25" spans="2:13" ht="28" customHeight="1" x14ac:dyDescent="0.3">
      <c r="B25" s="142"/>
      <c r="C25" s="160"/>
      <c r="D25" s="143" t="str">
        <f>Uebersetzungen!$D$106</f>
        <v>Valore di progetto</v>
      </c>
      <c r="E25" s="143" t="str">
        <f>Uebersetzungen!$D$107</f>
        <v>Requisito</v>
      </c>
      <c r="F25" s="200" t="str">
        <f>Uebersetzungen!$D$108</f>
        <v>Soddisfatto?</v>
      </c>
    </row>
    <row r="26" spans="2:13" s="63" customFormat="1" ht="28" customHeight="1" x14ac:dyDescent="0.35">
      <c r="B26" s="227" t="str">
        <f>Uebersetzungen!D128</f>
        <v>Numero di edifici con impiego di risorse locali</v>
      </c>
      <c r="C26" s="228"/>
      <c r="D26" s="140">
        <f>COUNTA(D11:M11)</f>
        <v>0</v>
      </c>
      <c r="E26" s="140" t="str">
        <f>IF(ISBLANK($D$8),"-",ROUNDUP(D8/3,0))</f>
        <v>-</v>
      </c>
      <c r="F26" s="141" t="str">
        <f>IF(E26="-","-",IF(D26&gt;=E26,Uebersetzungen!$D$64,Uebersetzungen!$D$65))</f>
        <v>-</v>
      </c>
    </row>
    <row r="27" spans="2:13" s="63" customFormat="1" ht="28" customHeight="1" x14ac:dyDescent="0.35">
      <c r="B27" s="76" t="str">
        <f>Uebersetzungen!D127</f>
        <v>Numero di gruppi di componenti costruttive locali</v>
      </c>
      <c r="C27" s="161"/>
      <c r="D27" s="139">
        <f>SUM(D21:M21)</f>
        <v>0</v>
      </c>
      <c r="E27" s="139" t="str">
        <f>IF(COUNTA(D12:M12)=0,"-",SUM(D22:M22))</f>
        <v>-</v>
      </c>
      <c r="F27" s="124" t="str">
        <f>IF(E27="-","-",IF(D27&gt;=E27,Uebersetzungen!$D$64,Uebersetzungen!$D$65))</f>
        <v>-</v>
      </c>
    </row>
  </sheetData>
  <sheetProtection algorithmName="SHA-512" hashValue="lEiaxs/u66VTyYb6uCkR7osMkRvmLRjqZCXJ8y8N5WfKYWDeuBcKV4y397BvcyfDV9FlcOGJUEQ6EiyFsAlOQQ==" saltValue="rdX93rJ31pFPGwi/WimxAg=="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I12"/>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7" style="29" bestFit="1" customWidth="1"/>
    <col min="3" max="3" width="16.1796875" style="29" customWidth="1"/>
    <col min="4" max="4" width="15.81640625" style="29" customWidth="1"/>
    <col min="5" max="5" width="3.7265625" style="29" customWidth="1"/>
    <col min="6" max="6" width="12.453125" style="29" customWidth="1"/>
    <col min="7" max="7" width="15.81640625" style="29" customWidth="1"/>
    <col min="8" max="16384" width="11.453125" style="29"/>
  </cols>
  <sheetData>
    <row r="1" spans="2:35" s="9" customFormat="1" ht="54" customHeight="1" x14ac:dyDescent="0.25">
      <c r="B1" s="23"/>
      <c r="C1" s="219" t="str">
        <f>Uebersetzungen!D30</f>
        <v xml:space="preserve">C2.4 Movimenti di terra minimi nella progettazione del terreno </v>
      </c>
      <c r="D1" s="219"/>
      <c r="E1" s="166"/>
      <c r="F1" s="220" t="str">
        <f>Uebersetzungen!$D$11&amp;" "&amp;Uebersetzungen!$D$82&amp;" "&amp;Uebersetzungen!$C$2&amp;"."&amp;Uebersetzungen!$A$2</f>
        <v>Strumento di verifica requisiti facoltativi Versione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24.75" customHeight="1" x14ac:dyDescent="0.3">
      <c r="B7" s="47" t="str">
        <f>Uebersetzungen!D85</f>
        <v>Indicazioni sulla rimozione del materiale di scavo</v>
      </c>
    </row>
    <row r="8" spans="2:35" s="30" customFormat="1" ht="28" customHeight="1" x14ac:dyDescent="0.35">
      <c r="B8" s="79" t="str">
        <f>Uebersetzungen!D88</f>
        <v>Superficie di riferimento energetico totale del quartiere</v>
      </c>
      <c r="C8" s="72" t="s">
        <v>141</v>
      </c>
      <c r="D8" s="68"/>
      <c r="E8" s="186"/>
    </row>
    <row r="9" spans="2:35" s="63" customFormat="1" ht="28" customHeight="1" x14ac:dyDescent="0.35">
      <c r="B9" s="76" t="str">
        <f>Uebersetzungen!D87</f>
        <v>Materiale di scavo con sgombero</v>
      </c>
      <c r="C9" s="73" t="s">
        <v>142</v>
      </c>
      <c r="D9" s="69"/>
      <c r="E9" s="186"/>
      <c r="F9" s="65"/>
    </row>
    <row r="10" spans="2:35" ht="63" customHeight="1" x14ac:dyDescent="0.3">
      <c r="B10" s="47" t="str">
        <f>Uebersetzungen!D79</f>
        <v xml:space="preserve">Risultati </v>
      </c>
      <c r="C10" s="66"/>
      <c r="D10" s="66"/>
      <c r="E10" s="66"/>
      <c r="F10" s="66"/>
    </row>
    <row r="11" spans="2:35" ht="28" customHeight="1" x14ac:dyDescent="0.3">
      <c r="B11" s="77"/>
      <c r="C11" s="74"/>
      <c r="D11" s="180" t="str">
        <f>Uebersetzungen!$D$106</f>
        <v>Valore di progetto</v>
      </c>
      <c r="E11" s="229" t="str">
        <f>Uebersetzungen!$D$107</f>
        <v>Requisito</v>
      </c>
      <c r="F11" s="230"/>
      <c r="G11" s="181" t="str">
        <f>Uebersetzungen!$D$108</f>
        <v>Soddisfatto?</v>
      </c>
    </row>
    <row r="12" spans="2:35" s="63" customFormat="1" ht="28" customHeight="1" x14ac:dyDescent="0.35">
      <c r="B12" s="78" t="str">
        <f>B9</f>
        <v>Materiale di scavo con sgombero</v>
      </c>
      <c r="C12" s="75" t="s">
        <v>143</v>
      </c>
      <c r="D12" s="71" t="str">
        <f>IFERROR(D9/D8,"-")</f>
        <v>-</v>
      </c>
      <c r="E12" s="196" t="s">
        <v>144</v>
      </c>
      <c r="F12" s="188">
        <f>1*40%</f>
        <v>0.4</v>
      </c>
      <c r="G12" s="125" t="str">
        <f>IF(D12="-","-",IF(D12&lt;=F12,Uebersetzungen!$D$64,Uebersetzungen!$D$65))</f>
        <v>-</v>
      </c>
    </row>
  </sheetData>
  <sheetProtection algorithmName="SHA-512" hashValue="NLX/y+juuN+r9TvbbF8eLd0iQ2JNlG7l4riowf6XP5mTctwLZfK5eh53VrqMPLffr4ccZykG68F923BjaXpL4A==" saltValue="FYd1ISGVCYpp0wXmRa7V+Q=="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G12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5.453125" style="29" customWidth="1"/>
    <col min="3" max="3" width="7.1796875" style="29" customWidth="1"/>
    <col min="4" max="4" width="15" style="29" customWidth="1"/>
    <col min="5" max="5" width="3.81640625" style="29" customWidth="1"/>
    <col min="6" max="6" width="11.81640625" style="29" customWidth="1"/>
    <col min="7" max="7" width="17.26953125" style="29" customWidth="1"/>
    <col min="8" max="16384" width="11.453125" style="29"/>
  </cols>
  <sheetData>
    <row r="1" spans="2:35" s="9" customFormat="1" ht="54" customHeight="1" x14ac:dyDescent="0.25">
      <c r="B1" s="23"/>
      <c r="C1" s="219" t="str">
        <f>Uebersetzungen!D33</f>
        <v xml:space="preserve">D1.5 Utilizzo dell’acqua piovana </v>
      </c>
      <c r="D1" s="219"/>
      <c r="E1" s="166"/>
      <c r="F1" s="220" t="str">
        <f>Uebersetzungen!$D$11&amp;" "&amp;Uebersetzungen!$D$82&amp;" "&amp;Uebersetzungen!$C$2&amp;"."&amp;Uebersetzungen!$A$2</f>
        <v>Strumento di verifica requisiti facoltativi Versione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24.75" customHeight="1" x14ac:dyDescent="0.3">
      <c r="B7" s="47" t="str">
        <f>Uebersetzungen!D91</f>
        <v>Indicazioni sulle superfici dei tetti</v>
      </c>
    </row>
    <row r="8" spans="2:35" s="30" customFormat="1" ht="28" customHeight="1" x14ac:dyDescent="0.35">
      <c r="B8" s="79" t="str">
        <f>Uebersetzungen!D89</f>
        <v>Superficie totale dei tetti del quartiere</v>
      </c>
      <c r="C8" s="72" t="s">
        <v>141</v>
      </c>
      <c r="D8" s="68"/>
      <c r="E8" s="186"/>
    </row>
    <row r="9" spans="2:35" s="63" customFormat="1" ht="28" customHeight="1" x14ac:dyDescent="0.35">
      <c r="B9" s="76" t="str">
        <f>Uebersetzungen!D90</f>
        <v>Superficie dei tetti con stoccaggio e recupero delle acque meteoriche</v>
      </c>
      <c r="C9" s="73" t="s">
        <v>141</v>
      </c>
      <c r="D9" s="69"/>
      <c r="E9" s="186"/>
      <c r="F9" s="65"/>
    </row>
    <row r="10" spans="2:35" ht="63" customHeight="1" x14ac:dyDescent="0.3">
      <c r="B10" s="47" t="str">
        <f>Uebersetzungen!D79</f>
        <v xml:space="preserve">Risultati </v>
      </c>
      <c r="C10" s="66"/>
      <c r="D10" s="66"/>
      <c r="E10" s="66"/>
      <c r="F10" s="66"/>
    </row>
    <row r="11" spans="2:35" ht="28" customHeight="1" x14ac:dyDescent="0.3">
      <c r="B11" s="182"/>
      <c r="C11" s="183"/>
      <c r="D11" s="178" t="str">
        <f>Uebersetzungen!$D$106</f>
        <v>Valore di progetto</v>
      </c>
      <c r="E11" s="225" t="str">
        <f>Uebersetzungen!$D$107</f>
        <v>Requisito</v>
      </c>
      <c r="F11" s="226"/>
      <c r="G11" s="179" t="str">
        <f>Uebersetzungen!$D$108</f>
        <v>Soddisfatto?</v>
      </c>
    </row>
    <row r="12" spans="2:35" s="63" customFormat="1" ht="28" customHeight="1" x14ac:dyDescent="0.35">
      <c r="B12" s="76" t="str">
        <f>Uebersetzungen!D92</f>
        <v>Percentuale delle superfici dei tetti con utilizzo dell'acqua piovana</v>
      </c>
      <c r="C12" s="73"/>
      <c r="D12" s="67" t="str">
        <f>IFERROR(D9/D8,"-")</f>
        <v>-</v>
      </c>
      <c r="E12" s="197" t="s">
        <v>398</v>
      </c>
      <c r="F12" s="187">
        <v>0.2</v>
      </c>
      <c r="G12" s="124" t="str">
        <f>IF(D12="-","-",IF(D12&gt;=F12,Uebersetzungen!$D$64,Uebersetzungen!$D$65))</f>
        <v>-</v>
      </c>
    </row>
    <row r="15" spans="2:35" x14ac:dyDescent="0.3">
      <c r="B15" s="30"/>
      <c r="C15" s="30"/>
      <c r="D15" s="30"/>
      <c r="E15" s="30"/>
    </row>
  </sheetData>
  <sheetProtection algorithmName="SHA-512" hashValue="YRvVpVy04ya8vKC6m5iMObOyi6YZsiz1kWU5hDFi10q5l6R2DdkE7B0G3C/WwLKwi0PrHKhPz67e1iP4tnAF+w==" saltValue="t30DV2GDOhDwBe6N/LCnsg=="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G12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22"/>
  <sheetViews>
    <sheetView showGridLines="0" zoomScaleNormal="100" zoomScalePageLayoutView="70" workbookViewId="0">
      <selection activeCell="D14" sqref="D14"/>
    </sheetView>
  </sheetViews>
  <sheetFormatPr baseColWidth="10" defaultColWidth="11.453125" defaultRowHeight="14" x14ac:dyDescent="0.3"/>
  <cols>
    <col min="1" max="1" width="2.1796875" style="29" customWidth="1"/>
    <col min="2" max="2" width="47" style="29" bestFit="1" customWidth="1"/>
    <col min="3" max="3" width="20.54296875" style="29" customWidth="1"/>
    <col min="4" max="4" width="23.1796875" style="29" customWidth="1"/>
    <col min="5" max="5" width="5.1796875" style="29" customWidth="1"/>
    <col min="6" max="6" width="14.1796875" style="29" customWidth="1"/>
    <col min="7" max="7" width="17.54296875" style="29" customWidth="1"/>
    <col min="8" max="8" width="0" style="29" hidden="1" customWidth="1"/>
    <col min="9" max="9" width="13" style="29" hidden="1" customWidth="1"/>
    <col min="10" max="11" width="11.453125" style="29" hidden="1" customWidth="1"/>
    <col min="12" max="12" width="0" style="29" hidden="1" customWidth="1"/>
    <col min="13" max="16384" width="11.453125" style="29"/>
  </cols>
  <sheetData>
    <row r="1" spans="2:35" s="9" customFormat="1" ht="54" customHeight="1" x14ac:dyDescent="0.25">
      <c r="B1" s="23"/>
      <c r="C1" s="219" t="str">
        <f>Uebersetzungen!D36</f>
        <v xml:space="preserve">E2.3 Minimizzazione  del numero di parcheggi per auto </v>
      </c>
      <c r="D1" s="219"/>
      <c r="E1" s="166"/>
      <c r="F1" s="220" t="str">
        <f>Uebersetzungen!$D$11&amp;" "&amp;Uebersetzungen!$D$82&amp;" "&amp;Uebersetzungen!$C$2&amp;"."&amp;Uebersetzungen!$A$2</f>
        <v>Strumento di verifica requisiti facoltativi Versione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32"/>
    </row>
    <row r="7" spans="2:35" s="30" customFormat="1" ht="35.65" customHeight="1" x14ac:dyDescent="0.35">
      <c r="B7" s="231" t="str">
        <f>Uebersetzungen!D101</f>
        <v>Questo strumento di verifica è adatto al calcolo in ambito residenziale e amministrativo (categorie di edificio I-III). Gli altri tipi di utilizzo devono essere calcolati secondo la norma VSS 40 281.</v>
      </c>
      <c r="C7" s="231"/>
      <c r="D7" s="231"/>
      <c r="E7" s="231"/>
      <c r="F7" s="231"/>
      <c r="G7" s="231"/>
    </row>
    <row r="8" spans="2:35" s="30" customFormat="1" ht="24.75" customHeight="1" x14ac:dyDescent="0.3">
      <c r="B8" s="46" t="str">
        <f>Uebersetzungen!D97</f>
        <v>Indicazioni sui posti auto</v>
      </c>
    </row>
    <row r="9" spans="2:35" s="52" customFormat="1" ht="28" customHeight="1" x14ac:dyDescent="0.35">
      <c r="B9" s="85" t="str">
        <f>Uebersetzungen!D103</f>
        <v>Numero di posti auto</v>
      </c>
      <c r="C9" s="75"/>
      <c r="D9" s="201"/>
      <c r="E9" s="30"/>
    </row>
    <row r="10" spans="2:35" s="30" customFormat="1" ht="24.75" customHeight="1" x14ac:dyDescent="0.3">
      <c r="B10" s="46" t="str">
        <f>Uebersetzungen!D48&amp;" &amp; "&amp;Uebersetzungen!D49</f>
        <v>Abitazioni PF &amp; Abitazioni MF</v>
      </c>
    </row>
    <row r="11" spans="2:35" s="63" customFormat="1" ht="28" customHeight="1" x14ac:dyDescent="0.35">
      <c r="B11" s="79" t="str">
        <f>Uebersetzungen!D102</f>
        <v>Posizione del quartiere</v>
      </c>
      <c r="C11" s="72"/>
      <c r="D11" s="97"/>
      <c r="E11" s="30"/>
      <c r="F11" s="167"/>
    </row>
    <row r="12" spans="2:35" s="52" customFormat="1" ht="28" customHeight="1" x14ac:dyDescent="0.35">
      <c r="B12" s="76" t="str">
        <f>Uebersetzungen!D104</f>
        <v>Numero di appartamenti</v>
      </c>
      <c r="C12" s="81"/>
      <c r="D12" s="218"/>
      <c r="E12" s="30"/>
    </row>
    <row r="13" spans="2:35" s="30" customFormat="1" ht="24.75" customHeight="1" x14ac:dyDescent="0.3">
      <c r="B13" s="46" t="str">
        <f>Uebersetzungen!D50</f>
        <v xml:space="preserve">Amministrazione </v>
      </c>
    </row>
    <row r="14" spans="2:35" s="52" customFormat="1" ht="27.75" customHeight="1" x14ac:dyDescent="0.35">
      <c r="B14" s="227" t="str">
        <f>Uebersetzungen!D142</f>
        <v>Frequenza dei trasporti pubblici</v>
      </c>
      <c r="C14" s="228"/>
      <c r="D14" s="216"/>
      <c r="E14" s="232" t="str">
        <f>Uebersetzungen!D147</f>
        <v>Tipo di localizzazione</v>
      </c>
      <c r="F14" s="233"/>
    </row>
    <row r="15" spans="2:35" s="52" customFormat="1" ht="27.75" customHeight="1" x14ac:dyDescent="0.35">
      <c r="B15" s="236" t="str">
        <f>Uebersetzungen!D143</f>
        <v>Quota della mobilità dolce sul totale del traffico passeggeri generato</v>
      </c>
      <c r="C15" s="237"/>
      <c r="D15" s="217"/>
      <c r="E15" s="234" t="str">
        <f>IFERROR(VLOOKUP($D$15,Listen!$A$27:$D$30,MATCH(D14,Listen!$A$27:$D$27,0),0),"-")</f>
        <v>-</v>
      </c>
      <c r="F15" s="235"/>
      <c r="I15" s="52" t="str">
        <f>Uebersetzungen!D148</f>
        <v>Minimo</v>
      </c>
      <c r="J15" s="207" t="e">
        <f>VLOOKUP(E15,Listen!A33:B37,2,0)</f>
        <v>#N/A</v>
      </c>
    </row>
    <row r="16" spans="2:35" s="52" customFormat="1" ht="27.75" customHeight="1" x14ac:dyDescent="0.35">
      <c r="B16" s="76" t="str">
        <f>Uebersetzungen!D105</f>
        <v>Superficie lorda amministrazione</v>
      </c>
      <c r="C16" s="81" t="s">
        <v>63</v>
      </c>
      <c r="D16" s="123"/>
      <c r="E16" s="30"/>
    </row>
    <row r="17" spans="2:7" s="52" customFormat="1" ht="27.75" customHeight="1" x14ac:dyDescent="0.35">
      <c r="E17" s="30"/>
    </row>
    <row r="18" spans="2:7" ht="27.75" customHeight="1" x14ac:dyDescent="0.3">
      <c r="B18" s="47" t="str">
        <f>Uebersetzungen!D79</f>
        <v xml:space="preserve">Risultati </v>
      </c>
    </row>
    <row r="19" spans="2:7" s="52" customFormat="1" ht="27.75" customHeight="1" x14ac:dyDescent="0.35">
      <c r="B19" s="85"/>
      <c r="C19" s="75"/>
      <c r="D19" s="170" t="str">
        <f>Uebersetzungen!$D$106</f>
        <v>Valore di progetto</v>
      </c>
      <c r="E19" s="184"/>
      <c r="F19" s="185" t="str">
        <f>Uebersetzungen!$D$107</f>
        <v>Requisito</v>
      </c>
      <c r="G19" s="171" t="str">
        <f>Uebersetzungen!$D$108</f>
        <v>Soddisfatto?</v>
      </c>
    </row>
    <row r="20" spans="2:7" s="52" customFormat="1" ht="27.75" customHeight="1" x14ac:dyDescent="0.35">
      <c r="B20" s="208" t="str">
        <f>B10</f>
        <v>Abitazioni PF &amp; Abitazioni MF</v>
      </c>
      <c r="C20" s="209"/>
      <c r="D20" s="210"/>
      <c r="E20" s="211"/>
      <c r="F20" s="212">
        <f>IFERROR(VLOOKUP(D11,LST_E23,2,0),0)*D12</f>
        <v>0</v>
      </c>
      <c r="G20" s="213"/>
    </row>
    <row r="21" spans="2:7" s="52" customFormat="1" ht="27.75" customHeight="1" x14ac:dyDescent="0.35">
      <c r="B21" s="208" t="str">
        <f>B13</f>
        <v xml:space="preserve">Amministrazione </v>
      </c>
      <c r="C21" s="209"/>
      <c r="D21" s="210"/>
      <c r="E21" s="214"/>
      <c r="F21" s="215">
        <f>IFERROR(2.5/100*J15*D16,0)</f>
        <v>0</v>
      </c>
      <c r="G21" s="213"/>
    </row>
    <row r="22" spans="2:7" s="52" customFormat="1" ht="27.75" customHeight="1" x14ac:dyDescent="0.35">
      <c r="B22" s="87" t="str">
        <f>B9</f>
        <v>Numero di posti auto</v>
      </c>
      <c r="C22" s="88"/>
      <c r="D22" s="90">
        <f>D9</f>
        <v>0</v>
      </c>
      <c r="E22" s="198" t="s">
        <v>144</v>
      </c>
      <c r="F22" s="168">
        <f>SUM(F20:F21)</f>
        <v>0</v>
      </c>
      <c r="G22" s="126" t="str">
        <f>IF(COUNTA(D9)=0,"-",IF(D22&lt;=F22,Uebersetzungen!$D$64,Uebersetzungen!$D$65))</f>
        <v>-</v>
      </c>
    </row>
  </sheetData>
  <sheetProtection algorithmName="SHA-512" hashValue="Vm2QwEGVR4yI+QOf/Qa9eNZ9p85rwYoJHIbMG7gFi1XtIw5j/J3wCMG371CumOpQY2fHzzEfwcxX3tac5jVwOA==" saltValue="x/P+R0hWL+Z3gFPcQVxgNw==" spinCount="100000" sheet="1" objects="1" scenarios="1" selectLockedCells="1"/>
  <mergeCells count="7">
    <mergeCell ref="C1:D1"/>
    <mergeCell ref="F1:G1"/>
    <mergeCell ref="B7:G7"/>
    <mergeCell ref="E14:F14"/>
    <mergeCell ref="E15:F15"/>
    <mergeCell ref="B15:C15"/>
    <mergeCell ref="B14:C14"/>
  </mergeCells>
  <dataValidations count="3">
    <dataValidation type="list" allowBlank="1" showInputMessage="1" showErrorMessage="1" sqref="D11" xr:uid="{C44E583D-CE73-4D3E-AED8-D4A63AADF22D}">
      <formula1>LST_Lage</formula1>
    </dataValidation>
    <dataValidation type="list" allowBlank="1" showInputMessage="1" showErrorMessage="1" sqref="D14" xr:uid="{D0AAE36E-CC6F-499D-A50F-5F2B2C6947F4}">
      <formula1>LST_OV</formula1>
    </dataValidation>
    <dataValidation type="list" allowBlank="1" showInputMessage="1" showErrorMessage="1" sqref="D15" xr:uid="{7233F65A-E089-495C-9BCF-7513B441547E}">
      <formula1>LST_Langsamverkehr</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8.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Uebersetzungen!D37</f>
        <v xml:space="preserve">E2.4 Offerte interne al quartiere per ridurre il traffico </v>
      </c>
      <c r="D1" s="219"/>
      <c r="E1" s="220" t="str">
        <f>Uebersetzungen!$D$11&amp;" "&amp;Uebersetzungen!$D$82&amp;" "&amp;Uebersetzungen!$C$2&amp;"."&amp;Uebersetzungen!$A$2</f>
        <v>Strumento di verifica requisiti facoltativi Versione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Richiesta</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Campo di selezione</v>
      </c>
    </row>
    <row r="6" spans="2:34" x14ac:dyDescent="0.3">
      <c r="B6" s="48"/>
    </row>
    <row r="7" spans="2:34" s="30" customFormat="1" ht="24.75" customHeight="1" x14ac:dyDescent="0.3">
      <c r="B7" s="47" t="str">
        <f>Uebersetzungen!D80</f>
        <v>Indicazioni sull'offerta di riduzione del traffico</v>
      </c>
      <c r="D7" s="29"/>
    </row>
    <row r="8" spans="2:34" s="52" customFormat="1" ht="28" customHeight="1" x14ac:dyDescent="0.35">
      <c r="B8" s="62" t="str">
        <f>"1. "&amp;Uebersetzungen!D$19</f>
        <v>1. Offerta per la riduzione del traffico interna al quartiere</v>
      </c>
      <c r="C8" s="238"/>
      <c r="D8" s="238"/>
      <c r="E8" s="238"/>
      <c r="F8" s="239"/>
    </row>
    <row r="9" spans="2:34" s="52" customFormat="1" ht="49.5" customHeight="1" x14ac:dyDescent="0.35">
      <c r="B9" s="54" t="str">
        <f>Uebersetzungen!$D$81</f>
        <v>Descrizione dell'offerta</v>
      </c>
      <c r="C9" s="245"/>
      <c r="D9" s="246"/>
      <c r="E9" s="246"/>
      <c r="F9" s="247"/>
    </row>
    <row r="10" spans="2:34" s="52" customFormat="1" x14ac:dyDescent="0.35">
      <c r="B10" s="56"/>
      <c r="C10" s="57"/>
      <c r="D10" s="57"/>
      <c r="E10" s="58"/>
      <c r="F10" s="59"/>
    </row>
    <row r="11" spans="2:34" s="52" customFormat="1" ht="28" customHeight="1" x14ac:dyDescent="0.35">
      <c r="B11" s="70" t="str">
        <f>"2. "&amp;Uebersetzungen!D$19</f>
        <v>2. Offerta per la riduzione del traffico interna al quartiere</v>
      </c>
      <c r="C11" s="240"/>
      <c r="D11" s="240"/>
      <c r="E11" s="240"/>
      <c r="F11" s="241"/>
    </row>
    <row r="12" spans="2:34" s="52" customFormat="1" ht="49.5" customHeight="1" x14ac:dyDescent="0.35">
      <c r="B12" s="55" t="str">
        <f>Uebersetzungen!$D$81</f>
        <v>Descrizione dell'offerta</v>
      </c>
      <c r="C12" s="242"/>
      <c r="D12" s="243"/>
      <c r="E12" s="243"/>
      <c r="F12" s="244"/>
    </row>
    <row r="13" spans="2:34" x14ac:dyDescent="0.3">
      <c r="B13" s="30"/>
      <c r="C13" s="30"/>
      <c r="D13" s="53"/>
    </row>
    <row r="14" spans="2:34" x14ac:dyDescent="0.3">
      <c r="B14" s="53"/>
      <c r="C14" s="53"/>
      <c r="D14" s="53"/>
    </row>
  </sheetData>
  <sheetProtection algorithmName="SHA-512" hashValue="03wfbBQ3q6GvqtcE3Ga2Va0BrEPh6CZnn1E0TB0MV+i5Qj2EN5eG9gNj0tdx+I1OgNYcX5Zh+JvEJ0WOCqjQrg==" saltValue="nMtGXeNQiNoRbzM+85/uVQ=="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8:F8 C11:F11"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7.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Uebersetzungen!D38</f>
        <v xml:space="preserve">E2.5 Gestione della mobilità per la riduzione del TPM </v>
      </c>
      <c r="D1" s="219"/>
      <c r="E1" s="220" t="str">
        <f>Uebersetzungen!$D$11&amp;" "&amp;Uebersetzungen!$D$82&amp;" "&amp;Uebersetzungen!$C$2&amp;"."&amp;Uebersetzungen!$A$2</f>
        <v>Strumento di verifica requisiti facoltativi Versione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Richiesta</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Campo di selezione</v>
      </c>
    </row>
    <row r="6" spans="2:34" x14ac:dyDescent="0.3">
      <c r="B6" s="48"/>
    </row>
    <row r="7" spans="2:34" s="30" customFormat="1" ht="24.75" customHeight="1" x14ac:dyDescent="0.3">
      <c r="B7" s="47" t="str">
        <f>Uebersetzungen!D14</f>
        <v>Indicazioni sulle misure</v>
      </c>
      <c r="D7" s="29"/>
    </row>
    <row r="8" spans="2:34" s="52" customFormat="1" ht="41.25" customHeight="1" x14ac:dyDescent="0.35">
      <c r="B8" s="62" t="str">
        <f>"1. "&amp;Uebersetzungen!D$12</f>
        <v>1. Misure per la riduzione del TPM</v>
      </c>
      <c r="C8" s="238"/>
      <c r="D8" s="238"/>
      <c r="E8" s="238"/>
      <c r="F8" s="239"/>
    </row>
    <row r="9" spans="2:34" s="52" customFormat="1" ht="86.65" customHeight="1" x14ac:dyDescent="0.35">
      <c r="B9" s="54" t="str">
        <f>Uebersetzungen!$D$81</f>
        <v>Descrizione dell'offerta</v>
      </c>
      <c r="C9" s="245"/>
      <c r="D9" s="246"/>
      <c r="E9" s="246"/>
      <c r="F9" s="247"/>
    </row>
    <row r="10" spans="2:34" s="52" customFormat="1" x14ac:dyDescent="0.35">
      <c r="B10" s="56"/>
      <c r="C10" s="57"/>
      <c r="D10" s="57"/>
      <c r="E10" s="58"/>
      <c r="F10" s="59"/>
    </row>
    <row r="11" spans="2:34" s="52" customFormat="1" ht="41.25" customHeight="1" x14ac:dyDescent="0.35">
      <c r="B11" s="70" t="str">
        <f>"2. "&amp;Uebersetzungen!D$19</f>
        <v>2. Offerta per la riduzione del traffico interna al quartiere</v>
      </c>
      <c r="C11" s="240"/>
      <c r="D11" s="240"/>
      <c r="E11" s="240"/>
      <c r="F11" s="241"/>
    </row>
    <row r="12" spans="2:34" s="52" customFormat="1" ht="86.65" customHeight="1" x14ac:dyDescent="0.35">
      <c r="B12" s="55" t="str">
        <f>Uebersetzungen!$D$81</f>
        <v>Descrizione dell'offerta</v>
      </c>
      <c r="C12" s="242"/>
      <c r="D12" s="243"/>
      <c r="E12" s="243"/>
      <c r="F12" s="244"/>
    </row>
    <row r="13" spans="2:34" x14ac:dyDescent="0.3">
      <c r="B13" s="30"/>
      <c r="C13" s="30"/>
      <c r="D13" s="53"/>
    </row>
    <row r="14" spans="2:34" x14ac:dyDescent="0.3">
      <c r="B14" s="53"/>
      <c r="C14" s="53"/>
      <c r="D14" s="53"/>
    </row>
    <row r="16" spans="2:34" x14ac:dyDescent="0.3">
      <c r="B16" s="30"/>
      <c r="C16" s="30"/>
      <c r="D16" s="30"/>
      <c r="E16" s="60"/>
    </row>
    <row r="17" spans="2:5" x14ac:dyDescent="0.3">
      <c r="B17" s="30"/>
      <c r="C17" s="30"/>
      <c r="D17" s="30"/>
      <c r="E17" s="60"/>
    </row>
    <row r="18" spans="2:5" x14ac:dyDescent="0.3">
      <c r="B18" s="30"/>
      <c r="C18" s="30"/>
      <c r="D18" s="30"/>
      <c r="E18" s="30"/>
    </row>
  </sheetData>
  <sheetProtection algorithmName="SHA-512" hashValue="ymVWzXNBpFe/+Gyct4qn2gIwB/hB75xk/3PZEDLZLDnn+3oPZhPRRC79Mxea84Biy878TS7STKdPfZJIlfDGSA==" saltValue="B1Oj7Efum1vk7RLf9vhfrA=="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8:F8 C11:F11"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I13"/>
  <sheetViews>
    <sheetView showGridLines="0" zoomScaleNormal="100" zoomScalePageLayoutView="70" workbookViewId="0">
      <selection activeCell="C8" sqref="C8"/>
    </sheetView>
  </sheetViews>
  <sheetFormatPr baseColWidth="10" defaultColWidth="11.453125" defaultRowHeight="14" x14ac:dyDescent="0.3"/>
  <cols>
    <col min="1" max="1" width="2.1796875" style="29" customWidth="1"/>
    <col min="2" max="2" width="52.54296875" style="29" customWidth="1"/>
    <col min="3" max="3" width="16.1796875" style="29" customWidth="1"/>
    <col min="4" max="4" width="4.54296875" style="29" customWidth="1"/>
    <col min="5" max="5" width="13.453125" style="29" customWidth="1"/>
    <col min="6" max="6" width="16.1796875" style="29" customWidth="1"/>
    <col min="7" max="7" width="10" style="29" customWidth="1"/>
    <col min="8" max="16384" width="11.453125" style="29"/>
  </cols>
  <sheetData>
    <row r="1" spans="2:35" s="9" customFormat="1" ht="54" customHeight="1" x14ac:dyDescent="0.25">
      <c r="B1" s="23"/>
      <c r="C1" s="219" t="str">
        <f>Uebersetzungen!D39</f>
        <v xml:space="preserve">E2.6 Stazioni di ricarica bidirezionali </v>
      </c>
      <c r="D1" s="219"/>
      <c r="E1" s="219"/>
      <c r="F1" s="220" t="str">
        <f>Uebersetzungen!$D$11&amp;" "&amp;Uebersetzungen!$D$82&amp;" "&amp;Uebersetzungen!$C$2&amp;"."&amp;Uebersetzungen!$A$2</f>
        <v>Strumento di verifica requisiti facoltativi Versione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19.5" customHeight="1" x14ac:dyDescent="0.3">
      <c r="B7" s="47" t="str">
        <f>Uebersetzungen!D83</f>
        <v>Indicazioni sulle stazioni di ricarica bidirezionali</v>
      </c>
    </row>
    <row r="8" spans="2:35" s="63" customFormat="1" ht="28" customHeight="1" x14ac:dyDescent="0.35">
      <c r="B8" s="62" t="str">
        <f>Uebersetzungen!D21</f>
        <v>Numero totale di parcheggi</v>
      </c>
      <c r="C8" s="68"/>
      <c r="D8" s="30"/>
      <c r="E8" s="65"/>
      <c r="F8" s="65"/>
    </row>
    <row r="9" spans="2:35" s="63" customFormat="1" ht="28" customHeight="1" x14ac:dyDescent="0.35">
      <c r="B9" s="64" t="str">
        <f>Uebersetzungen!D22</f>
        <v>Numero di parcheggi con stazione di ricarica bidirezionale</v>
      </c>
      <c r="C9" s="69"/>
      <c r="D9" s="30"/>
      <c r="E9" s="65"/>
      <c r="F9" s="65"/>
    </row>
    <row r="10" spans="2:35" ht="31.5" customHeight="1" x14ac:dyDescent="0.3">
      <c r="B10" s="47" t="str">
        <f>Uebersetzungen!D79</f>
        <v xml:space="preserve">Risultati </v>
      </c>
      <c r="C10" s="66"/>
      <c r="D10" s="66"/>
      <c r="E10" s="66"/>
      <c r="F10" s="66"/>
    </row>
    <row r="11" spans="2:35" ht="28" customHeight="1" x14ac:dyDescent="0.3">
      <c r="B11" s="61"/>
      <c r="C11" s="178" t="str">
        <f>Uebersetzungen!$D$106</f>
        <v>Valore di progetto</v>
      </c>
      <c r="D11" s="225" t="str">
        <f>Uebersetzungen!$D$107</f>
        <v>Requisito</v>
      </c>
      <c r="E11" s="226"/>
      <c r="F11" s="179" t="str">
        <f>Uebersetzungen!$D$108</f>
        <v>Soddisfatto?</v>
      </c>
    </row>
    <row r="12" spans="2:35" s="63" customFormat="1" ht="28" customHeight="1" x14ac:dyDescent="0.35">
      <c r="B12" s="64" t="str">
        <f>Uebersetzungen!D84</f>
        <v>Parte di parcheggi con stazioni di ricarica bidirezionali</v>
      </c>
      <c r="C12" s="67" t="str">
        <f>IFERROR(C9/C8,"-")</f>
        <v>-</v>
      </c>
      <c r="D12" s="199" t="s">
        <v>398</v>
      </c>
      <c r="E12" s="187">
        <v>0.05</v>
      </c>
      <c r="F12" s="124" t="str">
        <f>IF(C12="-","-",IF(C12&gt;=E12,Uebersetzungen!$D$64,Uebersetzungen!$D$65))</f>
        <v>-</v>
      </c>
    </row>
    <row r="13" spans="2:35" ht="19.149999999999999" customHeight="1" x14ac:dyDescent="0.3">
      <c r="C13" s="66"/>
      <c r="D13" s="66"/>
      <c r="E13" s="66"/>
      <c r="F13" s="66"/>
    </row>
  </sheetData>
  <sheetProtection algorithmName="SHA-512" hashValue="wIYlujABNdTIZCG+ivEpTesec3AO78huUX+Rf1ZQ3iKAkMJDlq1fYcAXR6vz7/SyFF0pTfI3FBv39XaUoPc5PA==" saltValue="8/WBaqaSSrRn9maEy2gLcw==" spinCount="100000" sheet="1" objects="1" scenarios="1" selectLockedCells="1"/>
  <mergeCells count="3">
    <mergeCell ref="C1:E1"/>
    <mergeCell ref="F1:G1"/>
    <mergeCell ref="D11:E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10" sqref="C10:F10"/>
    </sheetView>
  </sheetViews>
  <sheetFormatPr baseColWidth="10" defaultColWidth="11.453125" defaultRowHeight="14" x14ac:dyDescent="0.3"/>
  <cols>
    <col min="1" max="1" width="4.7265625" style="29" customWidth="1"/>
    <col min="2" max="2" width="37.54296875" style="29" customWidth="1"/>
    <col min="3" max="3" width="19.7265625" style="29" bestFit="1" customWidth="1"/>
    <col min="4" max="4" width="38"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Uebersetzungen!D46</f>
        <v>B1.6, C2.5, D1.7 e E2.7 (jolly requisiti facoltativi)</v>
      </c>
      <c r="D1" s="219"/>
      <c r="E1" s="220" t="str">
        <f>Uebersetzungen!$D$11&amp;" "&amp;Uebersetzungen!$D$82&amp;" "&amp;Uebersetzungen!$C$2&amp;"."&amp;Uebersetzungen!$A$2</f>
        <v>Strumento di verifica requisiti facoltativi Versione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Richiesta</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Campo di selezione</v>
      </c>
    </row>
    <row r="6" spans="2:34" x14ac:dyDescent="0.3">
      <c r="B6" s="48"/>
    </row>
    <row r="7" spans="2:34" s="30" customFormat="1" ht="24.75" customHeight="1" x14ac:dyDescent="0.3">
      <c r="B7" s="47" t="str">
        <f>Uebersetzungen!D47</f>
        <v>Indicazioni sulle misure</v>
      </c>
      <c r="D7" s="29"/>
    </row>
    <row r="8" spans="2:34" s="52" customFormat="1" ht="19.899999999999999" customHeight="1" x14ac:dyDescent="0.35">
      <c r="B8" s="99" t="str">
        <f>Uebersetzungen!D42</f>
        <v>Tema jolly</v>
      </c>
      <c r="C8" s="250"/>
      <c r="D8" s="250"/>
      <c r="E8" s="100"/>
      <c r="F8" s="101"/>
    </row>
    <row r="9" spans="2:34" s="52" customFormat="1" ht="12" customHeight="1" x14ac:dyDescent="0.35">
      <c r="B9" s="102"/>
      <c r="C9" s="103"/>
      <c r="D9" s="103"/>
      <c r="E9" s="103"/>
      <c r="F9" s="104"/>
    </row>
    <row r="10" spans="2:34" s="52" customFormat="1" ht="19.149999999999999" customHeight="1" x14ac:dyDescent="0.35">
      <c r="B10" s="105" t="str">
        <f>Uebersetzungen!D43</f>
        <v>Titolo</v>
      </c>
      <c r="C10" s="248"/>
      <c r="D10" s="248"/>
      <c r="E10" s="248"/>
      <c r="F10" s="249"/>
    </row>
    <row r="11" spans="2:34" s="52" customFormat="1" ht="7.5" customHeight="1" x14ac:dyDescent="0.35">
      <c r="B11" s="102"/>
      <c r="C11" s="30"/>
      <c r="D11" s="30"/>
      <c r="E11" s="30"/>
      <c r="F11" s="106"/>
    </row>
    <row r="12" spans="2:34" s="52" customFormat="1" ht="409.15" customHeight="1" x14ac:dyDescent="0.35">
      <c r="B12" s="105" t="str">
        <f>Uebersetzungen!D44</f>
        <v>Descrizione ed effetto</v>
      </c>
      <c r="C12" s="248"/>
      <c r="D12" s="248"/>
      <c r="E12" s="248"/>
      <c r="F12" s="249"/>
    </row>
    <row r="13" spans="2:34" s="52" customFormat="1" ht="7.5" customHeight="1" x14ac:dyDescent="0.35">
      <c r="B13" s="102"/>
      <c r="C13" s="30"/>
      <c r="D13" s="30"/>
      <c r="E13" s="30"/>
      <c r="F13" s="106"/>
    </row>
    <row r="14" spans="2:34" s="52" customFormat="1" ht="43.15" customHeight="1" x14ac:dyDescent="0.35">
      <c r="B14" s="107" t="str">
        <f>Uebersetzungen!D45</f>
        <v>Verifiche / allegati</v>
      </c>
      <c r="C14" s="243"/>
      <c r="D14" s="243"/>
      <c r="E14" s="243"/>
      <c r="F14" s="244"/>
    </row>
    <row r="15" spans="2:34" x14ac:dyDescent="0.3">
      <c r="B15" s="53"/>
      <c r="C15" s="53"/>
      <c r="D15" s="53"/>
    </row>
    <row r="17" spans="2:5" x14ac:dyDescent="0.3">
      <c r="B17" s="30"/>
      <c r="C17" s="30"/>
      <c r="D17" s="30"/>
      <c r="E17" s="60"/>
    </row>
    <row r="18" spans="2:5" x14ac:dyDescent="0.3">
      <c r="B18" s="30"/>
      <c r="C18" s="30"/>
      <c r="D18" s="30"/>
      <c r="E18" s="60"/>
    </row>
    <row r="19" spans="2:5" x14ac:dyDescent="0.3">
      <c r="B19" s="30"/>
      <c r="C19" s="30"/>
      <c r="D19" s="30"/>
      <c r="E19" s="30"/>
    </row>
  </sheetData>
  <sheetProtection algorithmName="SHA-512" hashValue="idPYKNKkcI7BooEg1MeFnBe2BdON7ROaWzwK09gy8BAvodORpj5hg7fFoVH1oUpZNsyFCv/J3GL6zhyl8GT6Zw==" saltValue="a4eumyH61ER/WQG3i2bTZw=="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E9:F9 D9 C9 C8:D8"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54"/>
  <sheetViews>
    <sheetView showGridLines="0" topLeftCell="A16" workbookViewId="0">
      <selection activeCell="A32" sqref="A32:B37"/>
    </sheetView>
  </sheetViews>
  <sheetFormatPr baseColWidth="10" defaultColWidth="10.54296875" defaultRowHeight="12.5" x14ac:dyDescent="0.25"/>
  <cols>
    <col min="1" max="1" width="31" style="93" customWidth="1"/>
    <col min="2" max="2" width="38.54296875" style="93" customWidth="1"/>
    <col min="3" max="3" width="8.26953125" style="93" bestFit="1" customWidth="1"/>
    <col min="4" max="4" width="23.54296875" style="93" customWidth="1"/>
    <col min="5" max="5" width="8.26953125" style="93" bestFit="1" customWidth="1"/>
    <col min="6" max="6" width="6.81640625" style="93" bestFit="1" customWidth="1"/>
    <col min="7" max="16384" width="10.54296875" style="93"/>
  </cols>
  <sheetData>
    <row r="1" spans="1:6" ht="27.4" customHeight="1" x14ac:dyDescent="0.35">
      <c r="A1" s="96" t="str">
        <f>Uebersetzungen!D113</f>
        <v>Lista</v>
      </c>
    </row>
    <row r="2" spans="1:6" ht="25" x14ac:dyDescent="0.25">
      <c r="A2" s="92" t="str">
        <f>Uebersetzungen!D38</f>
        <v xml:space="preserve">E2.5 Gestione della mobilità per la riduzione del TPM </v>
      </c>
      <c r="B2" s="92" t="str">
        <f>Uebersetzungen!D4</f>
        <v>L'acquisto/affitto di posti auto è facoltativo</v>
      </c>
    </row>
    <row r="3" spans="1:6" ht="25" x14ac:dyDescent="0.25">
      <c r="A3" s="92"/>
      <c r="B3" s="92" t="str">
        <f>Uebersetzungen!D5</f>
        <v>Prezzi di affitto a copertura dei costi per i posti auto</v>
      </c>
    </row>
    <row r="4" spans="1:6" ht="37.5" x14ac:dyDescent="0.25">
      <c r="A4" s="92"/>
      <c r="B4" s="92" t="str">
        <f>Uebersetzungen!D6</f>
        <v xml:space="preserve">La mobilità sostenibile viene incentivata per le/i residenti e le/i dipendenti con almeno 175.- CHF all’anno per persona. </v>
      </c>
    </row>
    <row r="5" spans="1:6" ht="37.5" x14ac:dyDescent="0.25">
      <c r="A5" s="92"/>
      <c r="B5" s="92" t="str">
        <f>Uebersetzungen!D7</f>
        <v>Per gli utilizzatori di biciclette, esistono almeno tre diverse offerte di servizi complementari oppure di infrastrutture.</v>
      </c>
    </row>
    <row r="6" spans="1:6" ht="62.5" x14ac:dyDescent="0.25">
      <c r="A6" s="92"/>
      <c r="B6" s="92" t="str">
        <f>Uebersetzungen!D8</f>
        <v>Regolamentazione, nei contratti di locazione, della proprietà dell’auto (abitazione) oppure criteri definiti ed efficaci per l’assegnazione di posti auto rispettivamente per l’assegnazione di permessi di parcheggio (posti di lavoro).</v>
      </c>
    </row>
    <row r="7" spans="1:6" ht="37.5" x14ac:dyDescent="0.25">
      <c r="A7" s="92"/>
      <c r="B7" s="92" t="str">
        <f>Uebersetzungen!D9</f>
        <v>Distanza a piedi tra gli ingressi di tutti gli edifici e la fermata del trasporto pubblico più vicina ≤ 500 metri</v>
      </c>
    </row>
    <row r="9" spans="1:6" ht="25" x14ac:dyDescent="0.25">
      <c r="A9" s="92" t="str">
        <f>Uebersetzungen!D37</f>
        <v xml:space="preserve">E2.4 Offerte interne al quartiere per ridurre il traffico </v>
      </c>
      <c r="B9" s="92" t="str">
        <f>Uebersetzungen!D16</f>
        <v>Beni di prima necessità: alimenti, bevande, articoli per l’igiene o medicamenti, altro</v>
      </c>
    </row>
    <row r="10" spans="1:6" ht="25" x14ac:dyDescent="0.25">
      <c r="A10" s="92"/>
      <c r="B10" s="92" t="str">
        <f>Uebersetzungen!D17</f>
        <v>Servizi: bar, ristoranti, caselle postali, bancomat, spazi di co-working, altro</v>
      </c>
    </row>
    <row r="11" spans="1:6" ht="25" x14ac:dyDescent="0.25">
      <c r="A11" s="92"/>
      <c r="B11" s="92" t="str">
        <f>Uebersetzungen!D18</f>
        <v>Istituzioni sociali: strutture per l’infanzia, asili, istituti comuni, altro</v>
      </c>
    </row>
    <row r="13" spans="1:6" ht="25" x14ac:dyDescent="0.25">
      <c r="A13" s="92" t="str">
        <f>Uebersetzungen!D24</f>
        <v xml:space="preserve">B1.4 Garantire un’elevata densità di utilizzo </v>
      </c>
      <c r="B13" s="92"/>
      <c r="C13" s="94" t="str">
        <f>Uebersetzungen!D72</f>
        <v>AE [m2]</v>
      </c>
      <c r="D13" s="92" t="str">
        <f>Uebersetzungen!D73</f>
        <v>Unità</v>
      </c>
      <c r="E13" s="94" t="str">
        <f>Uebersetzungen!D72</f>
        <v>AE [m2]</v>
      </c>
      <c r="F13" s="92" t="str">
        <f>Uebersetzungen!D73</f>
        <v>Unità</v>
      </c>
    </row>
    <row r="14" spans="1:6" x14ac:dyDescent="0.25">
      <c r="A14" s="92"/>
      <c r="B14" s="92" t="str">
        <f>Uebersetzungen!D48&amp;", "&amp;Uebersetzungen!D49</f>
        <v>Abitazioni PF, Abitazioni MF</v>
      </c>
      <c r="C14" s="95">
        <v>48</v>
      </c>
      <c r="D14" s="92" t="str">
        <f>Uebersetzungen!$D$74</f>
        <v>Residenti</v>
      </c>
      <c r="E14" s="94"/>
      <c r="F14" s="92"/>
    </row>
    <row r="15" spans="1:6" x14ac:dyDescent="0.25">
      <c r="A15" s="92"/>
      <c r="B15" s="92" t="str">
        <f>Uebersetzungen!D50</f>
        <v xml:space="preserve">Amministrazione </v>
      </c>
      <c r="C15" s="95">
        <v>36</v>
      </c>
      <c r="D15" s="92" t="str">
        <f>Uebersetzungen!$D$75</f>
        <v>Equivalenza a tempo pieno</v>
      </c>
      <c r="E15" s="95"/>
      <c r="F15" s="92"/>
    </row>
    <row r="16" spans="1:6" ht="25" x14ac:dyDescent="0.25">
      <c r="A16" s="92"/>
      <c r="B16" s="92" t="str">
        <f>Uebersetzungen!D51</f>
        <v>Scuole</v>
      </c>
      <c r="C16" s="95">
        <v>144</v>
      </c>
      <c r="D16" s="92" t="str">
        <f>Uebersetzungen!$D$75</f>
        <v>Equivalenza a tempo pieno</v>
      </c>
      <c r="E16" s="94">
        <v>17</v>
      </c>
      <c r="F16" s="92" t="str">
        <f>Uebersetzungen!D76</f>
        <v>Studenti</v>
      </c>
    </row>
    <row r="17" spans="1:6" x14ac:dyDescent="0.25">
      <c r="A17" s="92"/>
      <c r="B17" s="92" t="str">
        <f>Uebersetzungen!D61</f>
        <v>Vendita (negozi specializzati)</v>
      </c>
      <c r="C17" s="95">
        <v>72</v>
      </c>
      <c r="D17" s="92" t="str">
        <f>Uebersetzungen!$D$75</f>
        <v>Equivalenza a tempo pieno</v>
      </c>
      <c r="E17" s="95"/>
      <c r="F17" s="92"/>
    </row>
    <row r="18" spans="1:6" x14ac:dyDescent="0.25">
      <c r="A18" s="92"/>
      <c r="B18" s="92" t="str">
        <f>Uebersetzungen!D62</f>
        <v>Vendita (negozi di alimentari)</v>
      </c>
      <c r="C18" s="94">
        <v>52</v>
      </c>
      <c r="D18" s="92" t="str">
        <f>Uebersetzungen!$D$75</f>
        <v>Equivalenza a tempo pieno</v>
      </c>
      <c r="E18" s="95"/>
      <c r="F18" s="91"/>
    </row>
    <row r="19" spans="1:6" x14ac:dyDescent="0.25">
      <c r="A19" s="92"/>
      <c r="B19" s="92" t="str">
        <f>Uebersetzungen!D53</f>
        <v>Ristoranti</v>
      </c>
      <c r="C19" s="95">
        <v>52</v>
      </c>
      <c r="D19" s="92" t="str">
        <f>Uebersetzungen!$D$75</f>
        <v>Equivalenza a tempo pieno</v>
      </c>
      <c r="E19" s="95"/>
      <c r="F19" s="92"/>
    </row>
    <row r="22" spans="1:6" ht="26" x14ac:dyDescent="0.3">
      <c r="A22" s="204" t="str">
        <f>Uebersetzungen!D36</f>
        <v xml:space="preserve">E2.3 Minimizzazione  del numero di parcheggi per auto </v>
      </c>
      <c r="B22" s="92" t="str">
        <f>Uebersetzungen!D139</f>
        <v>Centro</v>
      </c>
      <c r="C22" s="92">
        <v>0.8</v>
      </c>
    </row>
    <row r="23" spans="1:6" x14ac:dyDescent="0.25">
      <c r="A23" s="92"/>
      <c r="B23" s="92" t="str">
        <f>Uebersetzungen!D140</f>
        <v>Agglomerati</v>
      </c>
      <c r="C23" s="92">
        <v>0.9</v>
      </c>
    </row>
    <row r="24" spans="1:6" x14ac:dyDescent="0.25">
      <c r="A24" s="92"/>
      <c r="B24" s="92" t="str">
        <f>Uebersetzungen!D141</f>
        <v>Campagna</v>
      </c>
      <c r="C24" s="92">
        <v>1</v>
      </c>
    </row>
    <row r="26" spans="1:6" ht="25" x14ac:dyDescent="0.25">
      <c r="A26" s="92" t="str">
        <f>Uebersetzungen!D143</f>
        <v>Quota della mobilità dolce sul totale del traffico passeggeri generato</v>
      </c>
      <c r="B26" s="251" t="str">
        <f>Uebersetzungen!D142</f>
        <v>Frequenza dei trasporti pubblici</v>
      </c>
      <c r="C26" s="251"/>
      <c r="D26" s="251"/>
    </row>
    <row r="27" spans="1:6" ht="39" x14ac:dyDescent="0.3">
      <c r="A27" s="204"/>
      <c r="B27" s="204" t="str">
        <f>Uebersetzungen!D144</f>
        <v>≥ 4 volte all'ora</v>
      </c>
      <c r="C27" s="204" t="str">
        <f>Uebersetzungen!D145</f>
        <v>1 - 4 volte all'ora</v>
      </c>
      <c r="D27" s="204" t="str">
        <f>Uebersetzungen!D146</f>
        <v>Non servito dai mezzi pubblici</v>
      </c>
    </row>
    <row r="28" spans="1:6" ht="13" x14ac:dyDescent="0.3">
      <c r="A28" s="204" t="s">
        <v>411</v>
      </c>
      <c r="B28" s="92" t="s">
        <v>414</v>
      </c>
      <c r="C28" s="92" t="s">
        <v>415</v>
      </c>
      <c r="D28" s="92" t="s">
        <v>416</v>
      </c>
    </row>
    <row r="29" spans="1:6" ht="13" x14ac:dyDescent="0.3">
      <c r="A29" s="204" t="s">
        <v>413</v>
      </c>
      <c r="B29" s="92" t="s">
        <v>415</v>
      </c>
      <c r="C29" s="92" t="s">
        <v>416</v>
      </c>
      <c r="D29" s="92" t="s">
        <v>426</v>
      </c>
    </row>
    <row r="30" spans="1:6" ht="13" x14ac:dyDescent="0.3">
      <c r="A30" s="204" t="s">
        <v>412</v>
      </c>
      <c r="B30" s="92" t="s">
        <v>416</v>
      </c>
      <c r="C30" s="92" t="s">
        <v>426</v>
      </c>
      <c r="D30" s="92" t="s">
        <v>427</v>
      </c>
    </row>
    <row r="32" spans="1:6" x14ac:dyDescent="0.25">
      <c r="A32" s="92" t="str">
        <f>Uebersetzungen!D147</f>
        <v>Tipo di localizzazione</v>
      </c>
      <c r="B32" s="205" t="str">
        <f>Uebersetzungen!D148</f>
        <v>Minimo</v>
      </c>
    </row>
    <row r="33" spans="1:2" x14ac:dyDescent="0.25">
      <c r="A33" s="92" t="s">
        <v>414</v>
      </c>
      <c r="B33" s="206">
        <v>0.2</v>
      </c>
    </row>
    <row r="34" spans="1:2" x14ac:dyDescent="0.25">
      <c r="A34" s="92" t="s">
        <v>415</v>
      </c>
      <c r="B34" s="206">
        <v>0.4</v>
      </c>
    </row>
    <row r="35" spans="1:2" x14ac:dyDescent="0.25">
      <c r="A35" s="92" t="s">
        <v>416</v>
      </c>
      <c r="B35" s="206">
        <v>0.5</v>
      </c>
    </row>
    <row r="36" spans="1:2" x14ac:dyDescent="0.25">
      <c r="A36" s="92" t="s">
        <v>426</v>
      </c>
      <c r="B36" s="206">
        <v>0.7</v>
      </c>
    </row>
    <row r="37" spans="1:2" x14ac:dyDescent="0.25">
      <c r="A37" s="92" t="s">
        <v>427</v>
      </c>
      <c r="B37" s="206">
        <v>0.9</v>
      </c>
    </row>
    <row r="42" spans="1:2" x14ac:dyDescent="0.25">
      <c r="A42" s="92" t="str">
        <f>Uebersetzungen!D41</f>
        <v>Jolly</v>
      </c>
      <c r="B42" s="92" t="str">
        <f>Uebersetzungen!D26</f>
        <v xml:space="preserve">B1.6 Jolly gestione del quartiere </v>
      </c>
    </row>
    <row r="43" spans="1:2" x14ac:dyDescent="0.25">
      <c r="A43" s="92"/>
      <c r="B43" s="92" t="str">
        <f>Uebersetzungen!D31</f>
        <v xml:space="preserve">C2.5 Jolly energia e gas serra </v>
      </c>
    </row>
    <row r="44" spans="1:2" x14ac:dyDescent="0.25">
      <c r="A44" s="92"/>
      <c r="B44" s="92" t="str">
        <f>Uebersetzungen!D35</f>
        <v xml:space="preserve">D1.7 Jolly comfort e adattamento al clima </v>
      </c>
    </row>
    <row r="45" spans="1:2" x14ac:dyDescent="0.25">
      <c r="A45" s="92"/>
      <c r="B45" s="92" t="str">
        <f>Uebersetzungen!D40</f>
        <v xml:space="preserve">E2.7 Jolly mobilità </v>
      </c>
    </row>
    <row r="47" spans="1:2" x14ac:dyDescent="0.25">
      <c r="A47" s="92" t="str">
        <f>Uebersetzungen!D28</f>
        <v xml:space="preserve">C2.2 Utilizzo di risorse locali </v>
      </c>
      <c r="B47" s="92" t="str">
        <f>Uebersetzungen!D121</f>
        <v>Nuova costruzione</v>
      </c>
    </row>
    <row r="48" spans="1:2" x14ac:dyDescent="0.25">
      <c r="A48" s="92"/>
      <c r="B48" s="92" t="str">
        <f>Uebersetzungen!D122</f>
        <v>Risanamento</v>
      </c>
    </row>
    <row r="50" spans="1:2" x14ac:dyDescent="0.25">
      <c r="A50" s="92" t="str">
        <f>Uebersetzungen!D28</f>
        <v xml:space="preserve">C2.2 Utilizzo di risorse locali </v>
      </c>
      <c r="B50" s="92" t="str">
        <f>Uebersetzungen!D64</f>
        <v>sì</v>
      </c>
    </row>
    <row r="51" spans="1:2" x14ac:dyDescent="0.25">
      <c r="A51" s="92"/>
      <c r="B51" s="92" t="str">
        <f>Uebersetzungen!D65</f>
        <v>no</v>
      </c>
    </row>
    <row r="53" spans="1:2" x14ac:dyDescent="0.25">
      <c r="A53" s="92" t="str">
        <f>Uebersetzungen!D28</f>
        <v xml:space="preserve">C2.2 Utilizzo di risorse locali </v>
      </c>
      <c r="B53" s="92"/>
    </row>
    <row r="54" spans="1:2" x14ac:dyDescent="0.25">
      <c r="A54" s="92"/>
      <c r="B54" s="92" t="s">
        <v>118</v>
      </c>
    </row>
  </sheetData>
  <sheetProtection algorithmName="SHA-512" hashValue="2HW2CJx8NHOJeWQymo9beGIarJX1av8lwRx3qS49mrtZrMRxIjOcE+KDPJFc16GMRk2WSyjQIggUV8um2laMTw==" saltValue="lW0jNAPfdLbpLrhLKUWIbQ==" spinCount="100000" sheet="1" objects="1" scenarios="1"/>
  <mergeCells count="1">
    <mergeCell ref="B26:D26"/>
  </mergeCells>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C1" sqref="C1"/>
    </sheetView>
  </sheetViews>
  <sheetFormatPr baseColWidth="10" defaultColWidth="11.453125" defaultRowHeight="11.5" x14ac:dyDescent="0.25"/>
  <cols>
    <col min="1" max="1" width="6.81640625" style="9" customWidth="1"/>
    <col min="2" max="2" width="12.7265625" style="9" customWidth="1"/>
    <col min="3" max="3" width="12.1796875" style="20" customWidth="1"/>
    <col min="4" max="4" width="46.26953125" style="21" customWidth="1"/>
    <col min="5" max="5" width="51.26953125" style="22" customWidth="1"/>
    <col min="6" max="6" width="46.26953125" style="22" customWidth="1"/>
    <col min="7" max="7" width="46.26953125" style="9" customWidth="1"/>
    <col min="8" max="8" width="11.453125" style="9"/>
    <col min="9" max="9" width="6.1796875" style="9" customWidth="1"/>
    <col min="10" max="16384" width="11.453125" style="9"/>
  </cols>
  <sheetData>
    <row r="1" spans="1:9" ht="23.25" customHeight="1" thickBot="1" x14ac:dyDescent="0.3">
      <c r="A1" s="1">
        <f>VLOOKUP(C1,H1:I3,2)</f>
        <v>3</v>
      </c>
      <c r="B1" s="2" t="s">
        <v>1</v>
      </c>
      <c r="C1" s="3" t="s">
        <v>8</v>
      </c>
      <c r="D1" s="4"/>
      <c r="E1" s="5" t="s">
        <v>3</v>
      </c>
      <c r="F1" s="6"/>
      <c r="G1" s="6"/>
      <c r="H1" s="7" t="str">
        <f>E3</f>
        <v>deutsch</v>
      </c>
      <c r="I1" s="8">
        <v>1</v>
      </c>
    </row>
    <row r="2" spans="1:9" ht="23.25" customHeight="1" thickBot="1" x14ac:dyDescent="0.3">
      <c r="A2" s="10">
        <v>1</v>
      </c>
      <c r="B2" s="11"/>
      <c r="C2" s="12">
        <v>2025</v>
      </c>
      <c r="D2" s="13" t="s">
        <v>4</v>
      </c>
      <c r="E2" s="7"/>
      <c r="F2" s="6"/>
      <c r="G2" s="6"/>
      <c r="H2" s="7" t="str">
        <f>F3</f>
        <v>französisch</v>
      </c>
      <c r="I2" s="8">
        <v>2</v>
      </c>
    </row>
    <row r="3" spans="1:9" ht="23.25" customHeight="1" x14ac:dyDescent="0.25">
      <c r="A3" s="14"/>
      <c r="B3" s="15"/>
      <c r="C3" s="15" t="s">
        <v>5</v>
      </c>
      <c r="D3" s="16" t="s">
        <v>6</v>
      </c>
      <c r="E3" s="17" t="s">
        <v>2</v>
      </c>
      <c r="F3" s="18" t="s">
        <v>7</v>
      </c>
      <c r="G3" s="19" t="s">
        <v>8</v>
      </c>
      <c r="H3" s="7" t="str">
        <f>G3</f>
        <v>italienisch</v>
      </c>
      <c r="I3" s="8">
        <v>3</v>
      </c>
    </row>
    <row r="4" spans="1:9" ht="23.25" customHeight="1" x14ac:dyDescent="0.25">
      <c r="C4" s="20">
        <v>1</v>
      </c>
      <c r="D4" s="21" t="str">
        <f t="shared" ref="D4:D67" si="0">INDEX($E$4:$G$503,$C4,$A$1)</f>
        <v>L'acquisto/affitto di posti auto è facoltativo</v>
      </c>
      <c r="E4" s="22" t="s">
        <v>11</v>
      </c>
      <c r="F4" s="22" t="s">
        <v>271</v>
      </c>
      <c r="G4" s="22" t="s">
        <v>247</v>
      </c>
    </row>
    <row r="5" spans="1:9" x14ac:dyDescent="0.25">
      <c r="C5" s="20">
        <v>2</v>
      </c>
      <c r="D5" s="21" t="str">
        <f t="shared" si="0"/>
        <v>Prezzi di affitto a copertura dei costi per i posti auto</v>
      </c>
      <c r="E5" s="22" t="s">
        <v>12</v>
      </c>
      <c r="F5" s="22" t="s">
        <v>272</v>
      </c>
      <c r="G5" s="22" t="s">
        <v>146</v>
      </c>
    </row>
    <row r="6" spans="1:9" ht="34.5" x14ac:dyDescent="0.25">
      <c r="C6" s="20">
        <v>3</v>
      </c>
      <c r="D6" s="21" t="str">
        <f t="shared" si="0"/>
        <v xml:space="preserve">La mobilità sostenibile viene incentivata per le/i residenti e le/i dipendenti con almeno 175.- CHF all’anno per persona. </v>
      </c>
      <c r="E6" s="22" t="s">
        <v>15</v>
      </c>
      <c r="F6" s="22" t="s">
        <v>273</v>
      </c>
      <c r="G6" s="22" t="s">
        <v>147</v>
      </c>
    </row>
    <row r="7" spans="1:9" ht="34.5" x14ac:dyDescent="0.25">
      <c r="C7" s="20">
        <v>4</v>
      </c>
      <c r="D7" s="21" t="str">
        <f t="shared" si="0"/>
        <v>Per gli utilizzatori di biciclette, esistono almeno tre diverse offerte di servizi complementari oppure di infrastrutture.</v>
      </c>
      <c r="E7" s="22" t="s">
        <v>16</v>
      </c>
      <c r="F7" s="22" t="s">
        <v>274</v>
      </c>
      <c r="G7" s="22" t="s">
        <v>148</v>
      </c>
    </row>
    <row r="8" spans="1:9" ht="46" x14ac:dyDescent="0.25">
      <c r="C8" s="20">
        <v>5</v>
      </c>
      <c r="D8" s="21" t="str">
        <f t="shared" si="0"/>
        <v>Regolamentazione, nei contratti di locazione, della proprietà dell’auto (abitazione) oppure criteri definiti ed efficaci per l’assegnazione di posti auto rispettivamente per l’assegnazione di permessi di parcheggio (posti di lavoro).</v>
      </c>
      <c r="E8" s="22" t="s">
        <v>17</v>
      </c>
      <c r="F8" s="22" t="s">
        <v>275</v>
      </c>
      <c r="G8" s="22" t="s">
        <v>248</v>
      </c>
    </row>
    <row r="9" spans="1:9" ht="23.5" x14ac:dyDescent="0.3">
      <c r="C9" s="20">
        <v>6</v>
      </c>
      <c r="D9" s="21" t="str">
        <f t="shared" si="0"/>
        <v>Distanza a piedi tra gli ingressi di tutti gli edifici e la fermata del trasporto pubblico più vicina ≤ 500 metri</v>
      </c>
      <c r="E9" s="22" t="s">
        <v>18</v>
      </c>
      <c r="F9" s="22" t="s">
        <v>276</v>
      </c>
      <c r="G9" s="22" t="s">
        <v>249</v>
      </c>
    </row>
    <row r="10" spans="1:9" x14ac:dyDescent="0.25">
      <c r="C10" s="20">
        <v>7</v>
      </c>
      <c r="D10" s="21">
        <f t="shared" si="0"/>
        <v>0</v>
      </c>
      <c r="G10" s="22"/>
    </row>
    <row r="11" spans="1:9" x14ac:dyDescent="0.25">
      <c r="C11" s="20">
        <v>8</v>
      </c>
      <c r="D11" s="21" t="str">
        <f t="shared" si="0"/>
        <v>Strumento di verifica requisiti facoltativi</v>
      </c>
      <c r="E11" s="22" t="s">
        <v>28</v>
      </c>
      <c r="F11" s="22" t="s">
        <v>277</v>
      </c>
      <c r="G11" s="22" t="s">
        <v>250</v>
      </c>
    </row>
    <row r="12" spans="1:9" x14ac:dyDescent="0.25">
      <c r="C12" s="20">
        <v>9</v>
      </c>
      <c r="D12" s="21" t="str">
        <f t="shared" si="0"/>
        <v>Misure per la riduzione del TPM</v>
      </c>
      <c r="E12" s="22" t="s">
        <v>14</v>
      </c>
      <c r="F12" s="22" t="s">
        <v>278</v>
      </c>
      <c r="G12" s="22" t="s">
        <v>149</v>
      </c>
    </row>
    <row r="13" spans="1:9" x14ac:dyDescent="0.25">
      <c r="C13" s="20">
        <v>10</v>
      </c>
      <c r="D13" s="21">
        <f t="shared" si="0"/>
        <v>0</v>
      </c>
      <c r="G13" s="22"/>
    </row>
    <row r="14" spans="1:9" x14ac:dyDescent="0.25">
      <c r="C14" s="20">
        <v>11</v>
      </c>
      <c r="D14" s="21" t="str">
        <f>INDEX($E$4:$G$503,$C14,$A$1)</f>
        <v>Indicazioni sulle misure</v>
      </c>
      <c r="E14" s="22" t="s">
        <v>105</v>
      </c>
      <c r="F14" s="22" t="s">
        <v>279</v>
      </c>
      <c r="G14" s="22" t="s">
        <v>150</v>
      </c>
    </row>
    <row r="15" spans="1:9" x14ac:dyDescent="0.25">
      <c r="C15" s="20">
        <v>12</v>
      </c>
      <c r="D15" s="21" t="str">
        <f t="shared" si="0"/>
        <v>Richiesta</v>
      </c>
      <c r="E15" s="22" t="s">
        <v>76</v>
      </c>
      <c r="F15" s="22" t="s">
        <v>280</v>
      </c>
      <c r="G15" s="22" t="s">
        <v>151</v>
      </c>
    </row>
    <row r="16" spans="1:9" ht="23" x14ac:dyDescent="0.25">
      <c r="C16" s="20">
        <v>13</v>
      </c>
      <c r="D16" s="21" t="str">
        <f t="shared" si="0"/>
        <v>Beni di prima necessità: alimenti, bevande, articoli per l’igiene o medicamenti, altro</v>
      </c>
      <c r="E16" s="22" t="s">
        <v>20</v>
      </c>
      <c r="F16" s="22" t="s">
        <v>281</v>
      </c>
      <c r="G16" s="22" t="s">
        <v>152</v>
      </c>
    </row>
    <row r="17" spans="3:7" ht="23" x14ac:dyDescent="0.25">
      <c r="C17" s="20">
        <v>14</v>
      </c>
      <c r="D17" s="21" t="str">
        <f t="shared" si="0"/>
        <v>Servizi: bar, ristoranti, caselle postali, bancomat, spazi di co-working, altro</v>
      </c>
      <c r="E17" s="22" t="s">
        <v>21</v>
      </c>
      <c r="F17" s="22" t="s">
        <v>282</v>
      </c>
      <c r="G17" s="22" t="s">
        <v>153</v>
      </c>
    </row>
    <row r="18" spans="3:7" ht="23" x14ac:dyDescent="0.25">
      <c r="C18" s="20">
        <v>15</v>
      </c>
      <c r="D18" s="21" t="str">
        <f t="shared" si="0"/>
        <v>Istituzioni sociali: strutture per l’infanzia, asili, istituti comuni, altro</v>
      </c>
      <c r="E18" s="22" t="s">
        <v>22</v>
      </c>
      <c r="F18" s="22" t="s">
        <v>283</v>
      </c>
      <c r="G18" s="22" t="s">
        <v>154</v>
      </c>
    </row>
    <row r="19" spans="3:7" x14ac:dyDescent="0.25">
      <c r="C19" s="20">
        <v>16</v>
      </c>
      <c r="D19" s="21" t="str">
        <f t="shared" si="0"/>
        <v>Offerta per la riduzione del traffico interna al quartiere</v>
      </c>
      <c r="E19" s="22" t="s">
        <v>23</v>
      </c>
      <c r="F19" s="22" t="s">
        <v>284</v>
      </c>
      <c r="G19" s="22" t="s">
        <v>155</v>
      </c>
    </row>
    <row r="20" spans="3:7" x14ac:dyDescent="0.25">
      <c r="C20" s="20">
        <v>17</v>
      </c>
      <c r="D20" s="21" t="str">
        <f t="shared" si="0"/>
        <v>Campo di selezione</v>
      </c>
      <c r="E20" s="22" t="s">
        <v>75</v>
      </c>
      <c r="F20" s="22" t="s">
        <v>285</v>
      </c>
      <c r="G20" s="22" t="s">
        <v>156</v>
      </c>
    </row>
    <row r="21" spans="3:7" x14ac:dyDescent="0.25">
      <c r="C21" s="20">
        <v>18</v>
      </c>
      <c r="D21" s="21" t="str">
        <f t="shared" si="0"/>
        <v>Numero totale di parcheggi</v>
      </c>
      <c r="E21" s="22" t="s">
        <v>25</v>
      </c>
      <c r="F21" s="22" t="s">
        <v>286</v>
      </c>
      <c r="G21" s="22" t="s">
        <v>157</v>
      </c>
    </row>
    <row r="22" spans="3:7" ht="23" x14ac:dyDescent="0.25">
      <c r="C22" s="20">
        <v>19</v>
      </c>
      <c r="D22" s="21" t="str">
        <f t="shared" si="0"/>
        <v>Numero di parcheggi con stazione di ricarica bidirezionale</v>
      </c>
      <c r="E22" s="22" t="s">
        <v>26</v>
      </c>
      <c r="F22" s="22" t="s">
        <v>287</v>
      </c>
      <c r="G22" s="22" t="s">
        <v>158</v>
      </c>
    </row>
    <row r="23" spans="3:7" ht="23" x14ac:dyDescent="0.25">
      <c r="C23" s="20">
        <v>20</v>
      </c>
      <c r="D23" s="21" t="str">
        <f t="shared" si="0"/>
        <v>Parte di superficie uguale a 80% o superiore -&gt; Non è necessario inserire la seconda categoria di edificio</v>
      </c>
      <c r="E23" s="22" t="s">
        <v>114</v>
      </c>
      <c r="F23" s="22" t="s">
        <v>288</v>
      </c>
      <c r="G23" s="22" t="s">
        <v>159</v>
      </c>
    </row>
    <row r="24" spans="3:7" x14ac:dyDescent="0.25">
      <c r="C24" s="20">
        <v>21</v>
      </c>
      <c r="D24" s="21" t="str">
        <f t="shared" si="0"/>
        <v xml:space="preserve">B1.4 Garantire un’elevata densità di utilizzo </v>
      </c>
      <c r="E24" s="22" t="s">
        <v>29</v>
      </c>
      <c r="F24" s="22" t="s">
        <v>289</v>
      </c>
      <c r="G24" s="22" t="s">
        <v>160</v>
      </c>
    </row>
    <row r="25" spans="3:7" x14ac:dyDescent="0.25">
      <c r="C25" s="20">
        <v>22</v>
      </c>
      <c r="D25" s="21" t="str">
        <f t="shared" si="0"/>
        <v>B1.5 Visualizzazione delle grandezze misurabili per gli utenti</v>
      </c>
      <c r="E25" s="22" t="s">
        <v>30</v>
      </c>
      <c r="F25" s="22" t="s">
        <v>290</v>
      </c>
      <c r="G25" s="22" t="s">
        <v>161</v>
      </c>
    </row>
    <row r="26" spans="3:7" x14ac:dyDescent="0.25">
      <c r="C26" s="20">
        <v>23</v>
      </c>
      <c r="D26" s="21" t="str">
        <f t="shared" si="0"/>
        <v xml:space="preserve">B1.6 Jolly gestione del quartiere </v>
      </c>
      <c r="E26" s="22" t="s">
        <v>31</v>
      </c>
      <c r="F26" s="22" t="s">
        <v>395</v>
      </c>
      <c r="G26" s="22" t="s">
        <v>162</v>
      </c>
    </row>
    <row r="27" spans="3:7" x14ac:dyDescent="0.25">
      <c r="C27" s="20">
        <v>24</v>
      </c>
      <c r="D27" s="21" t="str">
        <f t="shared" si="0"/>
        <v xml:space="preserve">C1.5 Soluzioni di stoccaggio innovative </v>
      </c>
      <c r="E27" s="22" t="s">
        <v>32</v>
      </c>
      <c r="F27" s="22" t="s">
        <v>291</v>
      </c>
      <c r="G27" s="22" t="s">
        <v>163</v>
      </c>
    </row>
    <row r="28" spans="3:7" x14ac:dyDescent="0.25">
      <c r="C28" s="20">
        <v>25</v>
      </c>
      <c r="D28" s="21" t="str">
        <f t="shared" si="0"/>
        <v xml:space="preserve">C2.2 Utilizzo di risorse locali </v>
      </c>
      <c r="E28" s="22" t="s">
        <v>33</v>
      </c>
      <c r="F28" s="22" t="s">
        <v>292</v>
      </c>
      <c r="G28" s="22" t="s">
        <v>164</v>
      </c>
    </row>
    <row r="29" spans="3:7" x14ac:dyDescent="0.25">
      <c r="C29" s="20">
        <v>26</v>
      </c>
      <c r="D29" s="21" t="str">
        <f t="shared" si="0"/>
        <v xml:space="preserve">C2.3 Riutilizzo di gruppi di componenti </v>
      </c>
      <c r="E29" s="22" t="s">
        <v>34</v>
      </c>
      <c r="F29" s="22" t="s">
        <v>293</v>
      </c>
      <c r="G29" s="22" t="s">
        <v>165</v>
      </c>
    </row>
    <row r="30" spans="3:7" ht="23" x14ac:dyDescent="0.25">
      <c r="C30" s="20">
        <v>27</v>
      </c>
      <c r="D30" s="21" t="str">
        <f t="shared" si="0"/>
        <v xml:space="preserve">C2.4 Movimenti di terra minimi nella progettazione del terreno </v>
      </c>
      <c r="E30" s="22" t="s">
        <v>35</v>
      </c>
      <c r="F30" s="22" t="s">
        <v>294</v>
      </c>
      <c r="G30" s="22" t="s">
        <v>166</v>
      </c>
    </row>
    <row r="31" spans="3:7" x14ac:dyDescent="0.25">
      <c r="C31" s="20">
        <v>28</v>
      </c>
      <c r="D31" s="21" t="str">
        <f t="shared" si="0"/>
        <v xml:space="preserve">C2.5 Jolly energia e gas serra </v>
      </c>
      <c r="E31" s="22" t="s">
        <v>36</v>
      </c>
      <c r="F31" s="22" t="s">
        <v>295</v>
      </c>
      <c r="G31" s="22" t="s">
        <v>167</v>
      </c>
    </row>
    <row r="32" spans="3:7" x14ac:dyDescent="0.25">
      <c r="C32" s="20">
        <v>29</v>
      </c>
      <c r="D32" s="21" t="str">
        <f t="shared" si="0"/>
        <v xml:space="preserve">D1.4 Ventilazione nel quartiere </v>
      </c>
      <c r="E32" s="22" t="s">
        <v>37</v>
      </c>
      <c r="F32" s="22" t="s">
        <v>296</v>
      </c>
      <c r="G32" s="22" t="s">
        <v>168</v>
      </c>
    </row>
    <row r="33" spans="3:7" x14ac:dyDescent="0.25">
      <c r="C33" s="20">
        <v>30</v>
      </c>
      <c r="D33" s="21" t="str">
        <f t="shared" si="0"/>
        <v xml:space="preserve">D1.5 Utilizzo dell’acqua piovana </v>
      </c>
      <c r="E33" s="22" t="s">
        <v>38</v>
      </c>
      <c r="F33" s="22" t="s">
        <v>297</v>
      </c>
      <c r="G33" s="22" t="s">
        <v>169</v>
      </c>
    </row>
    <row r="34" spans="3:7" ht="23" x14ac:dyDescent="0.25">
      <c r="C34" s="20">
        <v>31</v>
      </c>
      <c r="D34" s="21" t="str">
        <f t="shared" si="0"/>
        <v xml:space="preserve">D1.6 Nessuna sotto-costruzione degli spazi aperti </v>
      </c>
      <c r="E34" s="22" t="s">
        <v>39</v>
      </c>
      <c r="F34" s="22" t="s">
        <v>298</v>
      </c>
      <c r="G34" s="22" t="s">
        <v>170</v>
      </c>
    </row>
    <row r="35" spans="3:7" x14ac:dyDescent="0.25">
      <c r="C35" s="20">
        <v>32</v>
      </c>
      <c r="D35" s="21" t="str">
        <f t="shared" si="0"/>
        <v xml:space="preserve">D1.7 Jolly comfort e adattamento al clima </v>
      </c>
      <c r="E35" s="22" t="s">
        <v>40</v>
      </c>
      <c r="F35" s="22" t="s">
        <v>396</v>
      </c>
      <c r="G35" s="22" t="s">
        <v>171</v>
      </c>
    </row>
    <row r="36" spans="3:7" x14ac:dyDescent="0.25">
      <c r="C36" s="20">
        <v>33</v>
      </c>
      <c r="D36" s="21" t="str">
        <f t="shared" si="0"/>
        <v xml:space="preserve">E2.3 Minimizzazione  del numero di parcheggi per auto </v>
      </c>
      <c r="E36" s="22" t="s">
        <v>41</v>
      </c>
      <c r="F36" s="22" t="s">
        <v>299</v>
      </c>
      <c r="G36" s="22" t="s">
        <v>172</v>
      </c>
    </row>
    <row r="37" spans="3:7" x14ac:dyDescent="0.25">
      <c r="C37" s="20">
        <v>34</v>
      </c>
      <c r="D37" s="21" t="str">
        <f t="shared" si="0"/>
        <v xml:space="preserve">E2.4 Offerte interne al quartiere per ridurre il traffico </v>
      </c>
      <c r="E37" s="22" t="s">
        <v>13</v>
      </c>
      <c r="F37" s="22" t="s">
        <v>300</v>
      </c>
      <c r="G37" s="22" t="s">
        <v>173</v>
      </c>
    </row>
    <row r="38" spans="3:7" x14ac:dyDescent="0.25">
      <c r="C38" s="20">
        <v>35</v>
      </c>
      <c r="D38" s="21" t="str">
        <f t="shared" si="0"/>
        <v xml:space="preserve">E2.5 Gestione della mobilità per la riduzione del TPM </v>
      </c>
      <c r="E38" s="22" t="s">
        <v>19</v>
      </c>
      <c r="F38" s="22" t="s">
        <v>301</v>
      </c>
      <c r="G38" s="22" t="s">
        <v>174</v>
      </c>
    </row>
    <row r="39" spans="3:7" x14ac:dyDescent="0.25">
      <c r="C39" s="20">
        <v>36</v>
      </c>
      <c r="D39" s="21" t="str">
        <f t="shared" si="0"/>
        <v xml:space="preserve">E2.6 Stazioni di ricarica bidirezionali </v>
      </c>
      <c r="E39" s="22" t="s">
        <v>24</v>
      </c>
      <c r="F39" s="22" t="s">
        <v>302</v>
      </c>
      <c r="G39" s="22" t="s">
        <v>175</v>
      </c>
    </row>
    <row r="40" spans="3:7" x14ac:dyDescent="0.25">
      <c r="C40" s="20">
        <v>37</v>
      </c>
      <c r="D40" s="21" t="str">
        <f t="shared" si="0"/>
        <v xml:space="preserve">E2.7 Jolly mobilità </v>
      </c>
      <c r="E40" s="22" t="s">
        <v>42</v>
      </c>
      <c r="F40" s="22" t="s">
        <v>397</v>
      </c>
      <c r="G40" s="22" t="s">
        <v>176</v>
      </c>
    </row>
    <row r="41" spans="3:7" x14ac:dyDescent="0.25">
      <c r="C41" s="20">
        <v>38</v>
      </c>
      <c r="D41" s="21" t="str">
        <f t="shared" si="0"/>
        <v>Jolly</v>
      </c>
      <c r="E41" s="22" t="s">
        <v>106</v>
      </c>
      <c r="F41" s="22" t="s">
        <v>106</v>
      </c>
      <c r="G41" s="22" t="s">
        <v>177</v>
      </c>
    </row>
    <row r="42" spans="3:7" x14ac:dyDescent="0.25">
      <c r="C42" s="20">
        <v>39</v>
      </c>
      <c r="D42" s="21" t="str">
        <f t="shared" si="0"/>
        <v>Tema jolly</v>
      </c>
      <c r="E42" s="22" t="s">
        <v>107</v>
      </c>
      <c r="F42" s="22" t="s">
        <v>303</v>
      </c>
      <c r="G42" s="22" t="s">
        <v>178</v>
      </c>
    </row>
    <row r="43" spans="3:7" x14ac:dyDescent="0.25">
      <c r="C43" s="20">
        <v>40</v>
      </c>
      <c r="D43" s="21" t="str">
        <f t="shared" si="0"/>
        <v>Titolo</v>
      </c>
      <c r="E43" s="22" t="s">
        <v>108</v>
      </c>
      <c r="F43" s="22" t="s">
        <v>304</v>
      </c>
      <c r="G43" s="22" t="s">
        <v>179</v>
      </c>
    </row>
    <row r="44" spans="3:7" x14ac:dyDescent="0.25">
      <c r="C44" s="20">
        <v>41</v>
      </c>
      <c r="D44" s="21" t="str">
        <f t="shared" si="0"/>
        <v>Descrizione ed effetto</v>
      </c>
      <c r="E44" s="22" t="s">
        <v>109</v>
      </c>
      <c r="F44" s="22" t="s">
        <v>305</v>
      </c>
      <c r="G44" s="22" t="s">
        <v>180</v>
      </c>
    </row>
    <row r="45" spans="3:7" x14ac:dyDescent="0.25">
      <c r="C45" s="20">
        <v>42</v>
      </c>
      <c r="D45" s="21" t="str">
        <f t="shared" si="0"/>
        <v>Verifiche / allegati</v>
      </c>
      <c r="E45" s="22" t="s">
        <v>110</v>
      </c>
      <c r="F45" s="22" t="s">
        <v>306</v>
      </c>
      <c r="G45" s="22" t="s">
        <v>251</v>
      </c>
    </row>
    <row r="46" spans="3:7" x14ac:dyDescent="0.25">
      <c r="C46" s="20">
        <v>43</v>
      </c>
      <c r="D46" s="21" t="str">
        <f t="shared" si="0"/>
        <v>B1.6, C2.5, D1.7 e E2.7 (jolly requisiti facoltativi)</v>
      </c>
      <c r="E46" s="22" t="s">
        <v>111</v>
      </c>
      <c r="F46" s="22" t="s">
        <v>307</v>
      </c>
      <c r="G46" s="22" t="s">
        <v>252</v>
      </c>
    </row>
    <row r="47" spans="3:7" x14ac:dyDescent="0.25">
      <c r="C47" s="20">
        <v>44</v>
      </c>
      <c r="D47" s="21" t="str">
        <f t="shared" si="0"/>
        <v>Indicazioni sulle misure</v>
      </c>
      <c r="E47" s="22" t="s">
        <v>112</v>
      </c>
      <c r="F47" s="22" t="s">
        <v>308</v>
      </c>
      <c r="G47" s="22" t="s">
        <v>150</v>
      </c>
    </row>
    <row r="48" spans="3:7" x14ac:dyDescent="0.25">
      <c r="C48" s="20">
        <v>45</v>
      </c>
      <c r="D48" s="21" t="str">
        <f t="shared" si="0"/>
        <v>Abitazioni PF</v>
      </c>
      <c r="E48" s="22" t="s">
        <v>48</v>
      </c>
      <c r="F48" s="22" t="s">
        <v>309</v>
      </c>
      <c r="G48" s="22" t="s">
        <v>181</v>
      </c>
    </row>
    <row r="49" spans="3:7" x14ac:dyDescent="0.25">
      <c r="C49" s="20">
        <v>46</v>
      </c>
      <c r="D49" s="21" t="str">
        <f t="shared" si="0"/>
        <v>Abitazioni MF</v>
      </c>
      <c r="E49" s="22" t="s">
        <v>49</v>
      </c>
      <c r="F49" s="22" t="s">
        <v>310</v>
      </c>
      <c r="G49" s="22" t="s">
        <v>182</v>
      </c>
    </row>
    <row r="50" spans="3:7" x14ac:dyDescent="0.25">
      <c r="C50" s="20">
        <v>47</v>
      </c>
      <c r="D50" s="21" t="str">
        <f t="shared" si="0"/>
        <v xml:space="preserve">Amministrazione </v>
      </c>
      <c r="E50" s="22" t="s">
        <v>50</v>
      </c>
      <c r="F50" s="22" t="s">
        <v>311</v>
      </c>
      <c r="G50" s="22" t="s">
        <v>183</v>
      </c>
    </row>
    <row r="51" spans="3:7" x14ac:dyDescent="0.25">
      <c r="C51" s="20">
        <v>48</v>
      </c>
      <c r="D51" s="21" t="str">
        <f t="shared" si="0"/>
        <v>Scuole</v>
      </c>
      <c r="E51" s="22" t="s">
        <v>51</v>
      </c>
      <c r="F51" s="22" t="s">
        <v>312</v>
      </c>
      <c r="G51" s="22" t="s">
        <v>184</v>
      </c>
    </row>
    <row r="52" spans="3:7" x14ac:dyDescent="0.25">
      <c r="C52" s="20">
        <v>49</v>
      </c>
      <c r="D52" s="21" t="str">
        <f t="shared" si="0"/>
        <v>Negozi</v>
      </c>
      <c r="E52" s="22" t="s">
        <v>52</v>
      </c>
      <c r="F52" s="22" t="s">
        <v>313</v>
      </c>
      <c r="G52" s="22" t="s">
        <v>185</v>
      </c>
    </row>
    <row r="53" spans="3:7" x14ac:dyDescent="0.25">
      <c r="C53" s="20">
        <v>50</v>
      </c>
      <c r="D53" s="21" t="str">
        <f t="shared" si="0"/>
        <v>Ristoranti</v>
      </c>
      <c r="E53" s="22" t="s">
        <v>53</v>
      </c>
      <c r="F53" s="22" t="s">
        <v>314</v>
      </c>
      <c r="G53" s="22" t="s">
        <v>186</v>
      </c>
    </row>
    <row r="54" spans="3:7" x14ac:dyDescent="0.25">
      <c r="C54" s="20">
        <v>51</v>
      </c>
      <c r="D54" s="21" t="str">
        <f t="shared" si="0"/>
        <v>Locali pubblici</v>
      </c>
      <c r="E54" s="22" t="s">
        <v>54</v>
      </c>
      <c r="F54" s="22" t="s">
        <v>315</v>
      </c>
      <c r="G54" s="22" t="s">
        <v>187</v>
      </c>
    </row>
    <row r="55" spans="3:7" x14ac:dyDescent="0.25">
      <c r="C55" s="20">
        <v>52</v>
      </c>
      <c r="D55" s="21" t="str">
        <f t="shared" si="0"/>
        <v>Ospedali</v>
      </c>
      <c r="E55" s="22" t="s">
        <v>55</v>
      </c>
      <c r="F55" s="22" t="s">
        <v>316</v>
      </c>
      <c r="G55" s="22" t="s">
        <v>188</v>
      </c>
    </row>
    <row r="56" spans="3:7" x14ac:dyDescent="0.25">
      <c r="C56" s="20">
        <v>53</v>
      </c>
      <c r="D56" s="21" t="str">
        <f t="shared" si="0"/>
        <v>Industrie</v>
      </c>
      <c r="E56" s="22" t="s">
        <v>56</v>
      </c>
      <c r="F56" s="22" t="s">
        <v>56</v>
      </c>
      <c r="G56" s="22" t="s">
        <v>56</v>
      </c>
    </row>
    <row r="57" spans="3:7" x14ac:dyDescent="0.25">
      <c r="C57" s="20">
        <v>54</v>
      </c>
      <c r="D57" s="21" t="str">
        <f t="shared" si="0"/>
        <v>Magazzini</v>
      </c>
      <c r="E57" s="22" t="s">
        <v>57</v>
      </c>
      <c r="F57" s="22" t="s">
        <v>317</v>
      </c>
      <c r="G57" s="22" t="s">
        <v>189</v>
      </c>
    </row>
    <row r="58" spans="3:7" x14ac:dyDescent="0.25">
      <c r="C58" s="20">
        <v>55</v>
      </c>
      <c r="D58" s="21" t="str">
        <f t="shared" si="0"/>
        <v>Impianti sportivi</v>
      </c>
      <c r="E58" s="22" t="s">
        <v>58</v>
      </c>
      <c r="F58" s="22" t="s">
        <v>318</v>
      </c>
      <c r="G58" s="22" t="s">
        <v>190</v>
      </c>
    </row>
    <row r="59" spans="3:7" x14ac:dyDescent="0.25">
      <c r="C59" s="20">
        <v>56</v>
      </c>
      <c r="D59" s="21" t="str">
        <f t="shared" si="0"/>
        <v>Piscine coperte</v>
      </c>
      <c r="E59" s="22" t="s">
        <v>59</v>
      </c>
      <c r="F59" s="22" t="s">
        <v>319</v>
      </c>
      <c r="G59" s="22" t="s">
        <v>191</v>
      </c>
    </row>
    <row r="60" spans="3:7" x14ac:dyDescent="0.25">
      <c r="C60" s="20">
        <v>57</v>
      </c>
      <c r="D60" s="21" t="str">
        <f t="shared" si="0"/>
        <v>Altri</v>
      </c>
      <c r="E60" s="22" t="s">
        <v>60</v>
      </c>
      <c r="F60" s="22" t="s">
        <v>320</v>
      </c>
      <c r="G60" s="22" t="s">
        <v>192</v>
      </c>
    </row>
    <row r="61" spans="3:7" x14ac:dyDescent="0.25">
      <c r="C61" s="20">
        <v>58</v>
      </c>
      <c r="D61" s="21" t="str">
        <f t="shared" si="0"/>
        <v>Vendita (negozi specializzati)</v>
      </c>
      <c r="E61" s="22" t="s">
        <v>67</v>
      </c>
      <c r="F61" s="22" t="s">
        <v>321</v>
      </c>
      <c r="G61" s="22" t="s">
        <v>193</v>
      </c>
    </row>
    <row r="62" spans="3:7" x14ac:dyDescent="0.25">
      <c r="C62" s="20">
        <v>59</v>
      </c>
      <c r="D62" s="21" t="str">
        <f t="shared" si="0"/>
        <v>Vendita (negozi di alimentari)</v>
      </c>
      <c r="E62" s="22" t="s">
        <v>68</v>
      </c>
      <c r="F62" s="22" t="s">
        <v>322</v>
      </c>
      <c r="G62" s="22" t="s">
        <v>194</v>
      </c>
    </row>
    <row r="63" spans="3:7" x14ac:dyDescent="0.25">
      <c r="C63" s="20">
        <v>60</v>
      </c>
      <c r="D63" s="21" t="str">
        <f t="shared" si="0"/>
        <v>Numero</v>
      </c>
      <c r="E63" s="22" t="s">
        <v>69</v>
      </c>
      <c r="F63" s="22" t="s">
        <v>323</v>
      </c>
      <c r="G63" s="22" t="s">
        <v>195</v>
      </c>
    </row>
    <row r="64" spans="3:7" x14ac:dyDescent="0.25">
      <c r="C64" s="20">
        <v>61</v>
      </c>
      <c r="D64" s="21" t="str">
        <f t="shared" si="0"/>
        <v>sì</v>
      </c>
      <c r="E64" s="22" t="s">
        <v>9</v>
      </c>
      <c r="F64" s="22" t="s">
        <v>324</v>
      </c>
      <c r="G64" s="22" t="s">
        <v>196</v>
      </c>
    </row>
    <row r="65" spans="3:7" x14ac:dyDescent="0.25">
      <c r="C65" s="20">
        <v>62</v>
      </c>
      <c r="D65" s="21" t="str">
        <f t="shared" si="0"/>
        <v>no</v>
      </c>
      <c r="E65" s="22" t="s">
        <v>10</v>
      </c>
      <c r="F65" s="22" t="s">
        <v>325</v>
      </c>
      <c r="G65" s="22" t="s">
        <v>197</v>
      </c>
    </row>
    <row r="66" spans="3:7" x14ac:dyDescent="0.25">
      <c r="C66" s="20">
        <v>63</v>
      </c>
      <c r="D66" s="21" t="str">
        <f t="shared" si="0"/>
        <v>Istruzioni</v>
      </c>
      <c r="E66" s="22" t="s">
        <v>77</v>
      </c>
      <c r="F66" s="22" t="s">
        <v>326</v>
      </c>
      <c r="G66" s="22" t="s">
        <v>198</v>
      </c>
    </row>
    <row r="67" spans="3:7" x14ac:dyDescent="0.25">
      <c r="C67" s="20">
        <v>64</v>
      </c>
      <c r="D67" s="21" t="str">
        <f t="shared" si="0"/>
        <v>Categoria di edificio maggiore in termini di superficie</v>
      </c>
      <c r="E67" s="22" t="s">
        <v>73</v>
      </c>
      <c r="F67" s="22" t="s">
        <v>327</v>
      </c>
      <c r="G67" s="22" t="s">
        <v>199</v>
      </c>
    </row>
    <row r="68" spans="3:7" x14ac:dyDescent="0.25">
      <c r="C68" s="20">
        <v>65</v>
      </c>
      <c r="D68" s="21" t="str">
        <f t="shared" ref="D68:D131" si="1">INDEX($E$4:$G$503,$C68,$A$1)</f>
        <v>AE totale della categoria di edificio maggiore</v>
      </c>
      <c r="E68" s="22" t="s">
        <v>72</v>
      </c>
      <c r="F68" s="22" t="s">
        <v>328</v>
      </c>
      <c r="G68" s="22" t="s">
        <v>200</v>
      </c>
    </row>
    <row r="69" spans="3:7" x14ac:dyDescent="0.25">
      <c r="C69" s="20">
        <v>66</v>
      </c>
      <c r="D69" s="21" t="str">
        <f t="shared" si="1"/>
        <v>Seconda maggiore categoria di edificio in termini di superficie</v>
      </c>
      <c r="E69" s="22" t="s">
        <v>74</v>
      </c>
      <c r="F69" s="22" t="s">
        <v>329</v>
      </c>
      <c r="G69" s="22" t="s">
        <v>201</v>
      </c>
    </row>
    <row r="70" spans="3:7" ht="23" x14ac:dyDescent="0.25">
      <c r="C70" s="20">
        <v>67</v>
      </c>
      <c r="D70" s="21" t="str">
        <f t="shared" si="1"/>
        <v xml:space="preserve">AE totale della seconda maggiore categoria di edificio </v>
      </c>
      <c r="E70" s="22" t="s">
        <v>71</v>
      </c>
      <c r="F70" s="22" t="s">
        <v>330</v>
      </c>
      <c r="G70" s="22" t="s">
        <v>202</v>
      </c>
    </row>
    <row r="71" spans="3:7" x14ac:dyDescent="0.25">
      <c r="C71" s="20">
        <v>68</v>
      </c>
      <c r="D71" s="21" t="str">
        <f t="shared" si="1"/>
        <v xml:space="preserve">AE totale </v>
      </c>
      <c r="E71" s="22" t="s">
        <v>113</v>
      </c>
      <c r="F71" s="22" t="s">
        <v>331</v>
      </c>
      <c r="G71" s="22" t="s">
        <v>203</v>
      </c>
    </row>
    <row r="72" spans="3:7" x14ac:dyDescent="0.25">
      <c r="C72" s="20">
        <v>69</v>
      </c>
      <c r="D72" s="21" t="str">
        <f t="shared" si="1"/>
        <v>AE [m2]</v>
      </c>
      <c r="E72" s="22" t="s">
        <v>45</v>
      </c>
      <c r="F72" s="22" t="s">
        <v>332</v>
      </c>
      <c r="G72" s="22" t="s">
        <v>204</v>
      </c>
    </row>
    <row r="73" spans="3:7" x14ac:dyDescent="0.25">
      <c r="C73" s="20">
        <v>70</v>
      </c>
      <c r="D73" s="21" t="str">
        <f t="shared" si="1"/>
        <v>Unità</v>
      </c>
      <c r="E73" s="22" t="s">
        <v>64</v>
      </c>
      <c r="F73" s="22" t="s">
        <v>333</v>
      </c>
      <c r="G73" s="22" t="s">
        <v>205</v>
      </c>
    </row>
    <row r="74" spans="3:7" x14ac:dyDescent="0.25">
      <c r="C74" s="20">
        <v>71</v>
      </c>
      <c r="D74" s="21" t="str">
        <f t="shared" si="1"/>
        <v>Residenti</v>
      </c>
      <c r="E74" s="22" t="s">
        <v>62</v>
      </c>
      <c r="F74" s="22" t="s">
        <v>334</v>
      </c>
      <c r="G74" s="22" t="s">
        <v>206</v>
      </c>
    </row>
    <row r="75" spans="3:7" x14ac:dyDescent="0.25">
      <c r="C75" s="20">
        <v>72</v>
      </c>
      <c r="D75" s="21" t="str">
        <f t="shared" si="1"/>
        <v>Equivalenza a tempo pieno</v>
      </c>
      <c r="E75" s="22" t="s">
        <v>65</v>
      </c>
      <c r="F75" s="22" t="s">
        <v>335</v>
      </c>
      <c r="G75" s="22" t="s">
        <v>253</v>
      </c>
    </row>
    <row r="76" spans="3:7" x14ac:dyDescent="0.25">
      <c r="C76" s="20">
        <v>73</v>
      </c>
      <c r="D76" s="21" t="str">
        <f t="shared" si="1"/>
        <v>Studenti</v>
      </c>
      <c r="E76" s="22" t="s">
        <v>66</v>
      </c>
      <c r="F76" s="22" t="s">
        <v>336</v>
      </c>
      <c r="G76" s="22" t="s">
        <v>207</v>
      </c>
    </row>
    <row r="77" spans="3:7" x14ac:dyDescent="0.25">
      <c r="C77" s="20">
        <v>74</v>
      </c>
      <c r="D77" s="21">
        <f t="shared" si="1"/>
        <v>0</v>
      </c>
      <c r="G77" s="22"/>
    </row>
    <row r="78" spans="3:7" x14ac:dyDescent="0.25">
      <c r="C78" s="20">
        <v>75</v>
      </c>
      <c r="D78" s="21" t="str">
        <f t="shared" si="1"/>
        <v>Indicazioni sulla densità di utilizzo</v>
      </c>
      <c r="E78" s="22" t="s">
        <v>78</v>
      </c>
      <c r="F78" s="22" t="s">
        <v>337</v>
      </c>
      <c r="G78" s="22" t="s">
        <v>208</v>
      </c>
    </row>
    <row r="79" spans="3:7" x14ac:dyDescent="0.25">
      <c r="C79" s="20">
        <v>76</v>
      </c>
      <c r="D79" s="21" t="str">
        <f t="shared" si="1"/>
        <v xml:space="preserve">Risultati </v>
      </c>
      <c r="E79" s="22" t="s">
        <v>79</v>
      </c>
      <c r="F79" s="22" t="s">
        <v>338</v>
      </c>
      <c r="G79" s="22" t="s">
        <v>209</v>
      </c>
    </row>
    <row r="80" spans="3:7" x14ac:dyDescent="0.25">
      <c r="C80" s="20">
        <v>77</v>
      </c>
      <c r="D80" s="21" t="str">
        <f t="shared" si="1"/>
        <v>Indicazioni sull'offerta di riduzione del traffico</v>
      </c>
      <c r="E80" s="22" t="s">
        <v>81</v>
      </c>
      <c r="F80" s="22" t="s">
        <v>339</v>
      </c>
      <c r="G80" s="22" t="s">
        <v>210</v>
      </c>
    </row>
    <row r="81" spans="3:7" x14ac:dyDescent="0.25">
      <c r="C81" s="20">
        <v>78</v>
      </c>
      <c r="D81" s="21" t="str">
        <f t="shared" si="1"/>
        <v>Descrizione dell'offerta</v>
      </c>
      <c r="E81" s="22" t="s">
        <v>43</v>
      </c>
      <c r="F81" s="22" t="s">
        <v>340</v>
      </c>
      <c r="G81" s="22" t="s">
        <v>211</v>
      </c>
    </row>
    <row r="82" spans="3:7" x14ac:dyDescent="0.25">
      <c r="C82" s="20">
        <v>79</v>
      </c>
      <c r="D82" s="21" t="str">
        <f t="shared" si="1"/>
        <v>Versione</v>
      </c>
      <c r="E82" s="22" t="s">
        <v>80</v>
      </c>
      <c r="F82" s="22" t="s">
        <v>80</v>
      </c>
      <c r="G82" s="22" t="s">
        <v>212</v>
      </c>
    </row>
    <row r="83" spans="3:7" x14ac:dyDescent="0.25">
      <c r="C83" s="20">
        <v>80</v>
      </c>
      <c r="D83" s="21" t="str">
        <f t="shared" si="1"/>
        <v>Indicazioni sulle stazioni di ricarica bidirezionali</v>
      </c>
      <c r="E83" s="22" t="s">
        <v>82</v>
      </c>
      <c r="F83" s="22" t="s">
        <v>341</v>
      </c>
      <c r="G83" s="22" t="s">
        <v>213</v>
      </c>
    </row>
    <row r="84" spans="3:7" ht="23" x14ac:dyDescent="0.25">
      <c r="C84" s="20">
        <v>81</v>
      </c>
      <c r="D84" s="21" t="str">
        <f t="shared" si="1"/>
        <v>Parte di parcheggi con stazioni di ricarica bidirezionali</v>
      </c>
      <c r="E84" s="22" t="s">
        <v>27</v>
      </c>
      <c r="F84" s="22" t="s">
        <v>342</v>
      </c>
      <c r="G84" s="22" t="s">
        <v>254</v>
      </c>
    </row>
    <row r="85" spans="3:7" x14ac:dyDescent="0.25">
      <c r="C85" s="20">
        <v>82</v>
      </c>
      <c r="D85" s="21" t="str">
        <f t="shared" si="1"/>
        <v>Indicazioni sulla rimozione del materiale di scavo</v>
      </c>
      <c r="E85" s="22" t="s">
        <v>83</v>
      </c>
      <c r="F85" s="22" t="s">
        <v>343</v>
      </c>
      <c r="G85" s="22" t="s">
        <v>214</v>
      </c>
    </row>
    <row r="86" spans="3:7" x14ac:dyDescent="0.25">
      <c r="C86" s="20">
        <v>83</v>
      </c>
      <c r="D86" s="21" t="str">
        <f t="shared" si="1"/>
        <v>Totale materiale di scavo</v>
      </c>
      <c r="E86" s="22" t="s">
        <v>46</v>
      </c>
      <c r="F86" s="22" t="s">
        <v>344</v>
      </c>
      <c r="G86" s="22" t="s">
        <v>215</v>
      </c>
    </row>
    <row r="87" spans="3:7" x14ac:dyDescent="0.25">
      <c r="C87" s="20">
        <v>84</v>
      </c>
      <c r="D87" s="21" t="str">
        <f t="shared" si="1"/>
        <v>Materiale di scavo con sgombero</v>
      </c>
      <c r="E87" s="22" t="s">
        <v>47</v>
      </c>
      <c r="F87" s="22" t="s">
        <v>345</v>
      </c>
      <c r="G87" s="22" t="s">
        <v>255</v>
      </c>
    </row>
    <row r="88" spans="3:7" x14ac:dyDescent="0.25">
      <c r="C88" s="20">
        <v>85</v>
      </c>
      <c r="D88" s="21" t="str">
        <f t="shared" si="1"/>
        <v>Superficie di riferimento energetico totale del quartiere</v>
      </c>
      <c r="E88" s="22" t="s">
        <v>84</v>
      </c>
      <c r="F88" s="22" t="s">
        <v>346</v>
      </c>
      <c r="G88" s="22" t="s">
        <v>256</v>
      </c>
    </row>
    <row r="89" spans="3:7" x14ac:dyDescent="0.25">
      <c r="C89" s="20">
        <v>86</v>
      </c>
      <c r="D89" s="21" t="str">
        <f t="shared" si="1"/>
        <v>Superficie totale dei tetti del quartiere</v>
      </c>
      <c r="E89" s="22" t="s">
        <v>88</v>
      </c>
      <c r="F89" s="22" t="s">
        <v>347</v>
      </c>
      <c r="G89" s="22" t="s">
        <v>257</v>
      </c>
    </row>
    <row r="90" spans="3:7" ht="23" x14ac:dyDescent="0.25">
      <c r="C90" s="20">
        <v>87</v>
      </c>
      <c r="D90" s="21" t="str">
        <f t="shared" si="1"/>
        <v>Superficie dei tetti con stoccaggio e recupero delle acque meteoriche</v>
      </c>
      <c r="E90" s="22" t="s">
        <v>86</v>
      </c>
      <c r="F90" s="22" t="s">
        <v>348</v>
      </c>
      <c r="G90" s="22" t="s">
        <v>216</v>
      </c>
    </row>
    <row r="91" spans="3:7" x14ac:dyDescent="0.25">
      <c r="C91" s="20">
        <v>88</v>
      </c>
      <c r="D91" s="21" t="str">
        <f t="shared" si="1"/>
        <v>Indicazioni sulle superfici dei tetti</v>
      </c>
      <c r="E91" s="22" t="s">
        <v>85</v>
      </c>
      <c r="F91" s="22" t="s">
        <v>349</v>
      </c>
      <c r="G91" s="22" t="s">
        <v>217</v>
      </c>
    </row>
    <row r="92" spans="3:7" ht="23" x14ac:dyDescent="0.25">
      <c r="C92" s="20">
        <v>89</v>
      </c>
      <c r="D92" s="21" t="str">
        <f t="shared" si="1"/>
        <v>Percentuale delle superfici dei tetti con utilizzo dell'acqua piovana</v>
      </c>
      <c r="E92" s="22" t="s">
        <v>87</v>
      </c>
      <c r="F92" s="22" t="s">
        <v>350</v>
      </c>
      <c r="G92" s="22" t="s">
        <v>218</v>
      </c>
    </row>
    <row r="93" spans="3:7" x14ac:dyDescent="0.25">
      <c r="C93" s="20">
        <v>90</v>
      </c>
      <c r="D93" s="21" t="str">
        <f t="shared" si="1"/>
        <v>Indicazioni sulla visualizzazione</v>
      </c>
      <c r="E93" s="22" t="s">
        <v>89</v>
      </c>
      <c r="F93" s="22" t="s">
        <v>351</v>
      </c>
      <c r="G93" s="22" t="s">
        <v>219</v>
      </c>
    </row>
    <row r="94" spans="3:7" ht="23" x14ac:dyDescent="0.25">
      <c r="C94" s="20">
        <v>91</v>
      </c>
      <c r="D94" s="21" t="str">
        <f t="shared" si="1"/>
        <v>Totale di superficie di riferimento energetico a utilizzo abitativo (categorie di edificio I + II)</v>
      </c>
      <c r="E94" s="22" t="s">
        <v>92</v>
      </c>
      <c r="F94" s="22" t="s">
        <v>352</v>
      </c>
      <c r="G94" s="22" t="s">
        <v>258</v>
      </c>
    </row>
    <row r="95" spans="3:7" ht="23" x14ac:dyDescent="0.25">
      <c r="C95" s="20">
        <v>92</v>
      </c>
      <c r="D95" s="21" t="str">
        <f t="shared" si="1"/>
        <v>Superficie di riferimento energetico a utilizzo residenziale con visualizzazione delle grandezze misurate</v>
      </c>
      <c r="E95" s="22" t="s">
        <v>90</v>
      </c>
      <c r="F95" s="22" t="s">
        <v>353</v>
      </c>
      <c r="G95" s="22" t="s">
        <v>259</v>
      </c>
    </row>
    <row r="96" spans="3:7" ht="23" x14ac:dyDescent="0.25">
      <c r="C96" s="20">
        <v>93</v>
      </c>
      <c r="D96" s="21" t="str">
        <f t="shared" si="1"/>
        <v>Percentuale di utilizzo residenziale con visualizzazione delle grandezze misurate</v>
      </c>
      <c r="E96" s="22" t="s">
        <v>91</v>
      </c>
      <c r="F96" s="22" t="s">
        <v>354</v>
      </c>
      <c r="G96" s="22" t="s">
        <v>220</v>
      </c>
    </row>
    <row r="97" spans="3:7" x14ac:dyDescent="0.25">
      <c r="C97" s="20">
        <v>94</v>
      </c>
      <c r="D97" s="21" t="str">
        <f t="shared" si="1"/>
        <v>Indicazioni sui posti auto</v>
      </c>
      <c r="E97" s="22" t="s">
        <v>93</v>
      </c>
      <c r="F97" s="22" t="s">
        <v>355</v>
      </c>
      <c r="G97" s="22" t="s">
        <v>221</v>
      </c>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ht="46" x14ac:dyDescent="0.25">
      <c r="C101" s="20">
        <v>98</v>
      </c>
      <c r="D101" s="21" t="str">
        <f t="shared" si="1"/>
        <v>Questo strumento di verifica è adatto al calcolo in ambito residenziale e amministrativo (categorie di edificio I-III). Gli altri tipi di utilizzo devono essere calcolati secondo la norma VSS 40 281.</v>
      </c>
      <c r="E101" s="22" t="s">
        <v>98</v>
      </c>
      <c r="F101" s="22" t="s">
        <v>356</v>
      </c>
      <c r="G101" s="22" t="s">
        <v>260</v>
      </c>
    </row>
    <row r="102" spans="3:7" x14ac:dyDescent="0.25">
      <c r="C102" s="20">
        <v>99</v>
      </c>
      <c r="D102" s="21" t="str">
        <f t="shared" si="1"/>
        <v>Posizione del quartiere</v>
      </c>
      <c r="E102" s="22" t="s">
        <v>104</v>
      </c>
      <c r="F102" s="22" t="s">
        <v>357</v>
      </c>
      <c r="G102" s="22" t="s">
        <v>261</v>
      </c>
    </row>
    <row r="103" spans="3:7" x14ac:dyDescent="0.25">
      <c r="C103" s="20">
        <v>100</v>
      </c>
      <c r="D103" s="21" t="str">
        <f t="shared" si="1"/>
        <v>Numero di posti auto</v>
      </c>
      <c r="E103" s="22" t="s">
        <v>103</v>
      </c>
      <c r="F103" s="22" t="s">
        <v>358</v>
      </c>
      <c r="G103" s="22" t="s">
        <v>262</v>
      </c>
    </row>
    <row r="104" spans="3:7" x14ac:dyDescent="0.25">
      <c r="C104" s="20">
        <v>101</v>
      </c>
      <c r="D104" s="21" t="str">
        <f t="shared" si="1"/>
        <v>Numero di appartamenti</v>
      </c>
      <c r="E104" s="22" t="s">
        <v>97</v>
      </c>
      <c r="F104" s="22" t="s">
        <v>359</v>
      </c>
      <c r="G104" s="22" t="s">
        <v>263</v>
      </c>
    </row>
    <row r="105" spans="3:7" x14ac:dyDescent="0.25">
      <c r="C105" s="20">
        <v>102</v>
      </c>
      <c r="D105" s="21" t="str">
        <f t="shared" si="1"/>
        <v>Superficie lorda amministrazione</v>
      </c>
      <c r="E105" s="22" t="s">
        <v>115</v>
      </c>
      <c r="F105" s="22" t="s">
        <v>360</v>
      </c>
      <c r="G105" s="22" t="s">
        <v>222</v>
      </c>
    </row>
    <row r="106" spans="3:7" x14ac:dyDescent="0.25">
      <c r="C106" s="20">
        <v>103</v>
      </c>
      <c r="D106" s="21" t="str">
        <f t="shared" si="1"/>
        <v>Valore di progetto</v>
      </c>
      <c r="E106" s="22" t="s">
        <v>61</v>
      </c>
      <c r="F106" s="22" t="s">
        <v>361</v>
      </c>
      <c r="G106" s="22" t="s">
        <v>223</v>
      </c>
    </row>
    <row r="107" spans="3:7" x14ac:dyDescent="0.25">
      <c r="C107" s="20">
        <v>104</v>
      </c>
      <c r="D107" s="21" t="str">
        <f t="shared" si="1"/>
        <v>Requisito</v>
      </c>
      <c r="E107" s="22" t="s">
        <v>44</v>
      </c>
      <c r="F107" s="22" t="s">
        <v>362</v>
      </c>
      <c r="G107" s="22" t="s">
        <v>224</v>
      </c>
    </row>
    <row r="108" spans="3:7" x14ac:dyDescent="0.25">
      <c r="C108" s="20">
        <v>105</v>
      </c>
      <c r="D108" s="21" t="str">
        <f t="shared" si="1"/>
        <v>Soddisfatto?</v>
      </c>
      <c r="E108" s="22" t="s">
        <v>70</v>
      </c>
      <c r="F108" s="22" t="s">
        <v>363</v>
      </c>
      <c r="G108" s="22" t="s">
        <v>225</v>
      </c>
    </row>
    <row r="109" spans="3:7" x14ac:dyDescent="0.25">
      <c r="C109" s="20">
        <v>106</v>
      </c>
      <c r="D109" s="21" t="str">
        <f t="shared" si="1"/>
        <v>Posti auto a utilizzo residenziale</v>
      </c>
      <c r="E109" s="22" t="s">
        <v>99</v>
      </c>
      <c r="F109" s="22" t="s">
        <v>364</v>
      </c>
      <c r="G109" s="22" t="s">
        <v>226</v>
      </c>
    </row>
    <row r="110" spans="3:7" x14ac:dyDescent="0.25">
      <c r="C110" s="20">
        <v>107</v>
      </c>
      <c r="D110" s="21" t="str">
        <f t="shared" si="1"/>
        <v>Posti auto a utilizzo amministrativo</v>
      </c>
      <c r="E110" s="22" t="s">
        <v>100</v>
      </c>
      <c r="F110" s="22" t="s">
        <v>365</v>
      </c>
      <c r="G110" s="22" t="s">
        <v>227</v>
      </c>
    </row>
    <row r="111" spans="3:7" x14ac:dyDescent="0.25">
      <c r="C111" s="20">
        <v>108</v>
      </c>
      <c r="D111" s="21" t="str">
        <f t="shared" si="1"/>
        <v>Parcheggi/abitazione</v>
      </c>
      <c r="E111" s="22" t="s">
        <v>101</v>
      </c>
      <c r="F111" s="22" t="s">
        <v>366</v>
      </c>
      <c r="G111" s="22" t="s">
        <v>264</v>
      </c>
    </row>
    <row r="112" spans="3:7" x14ac:dyDescent="0.25">
      <c r="C112" s="20">
        <v>109</v>
      </c>
      <c r="D112" s="21" t="str">
        <f t="shared" si="1"/>
        <v>Parcheggi/100m2 SUL</v>
      </c>
      <c r="E112" s="22" t="s">
        <v>102</v>
      </c>
      <c r="F112" s="22" t="s">
        <v>367</v>
      </c>
      <c r="G112" s="22" t="s">
        <v>265</v>
      </c>
    </row>
    <row r="113" spans="3:7" x14ac:dyDescent="0.25">
      <c r="C113" s="20">
        <v>110</v>
      </c>
      <c r="D113" s="21" t="str">
        <f t="shared" si="1"/>
        <v>Lista</v>
      </c>
      <c r="E113" s="22" t="s">
        <v>0</v>
      </c>
      <c r="F113" s="22" t="s">
        <v>0</v>
      </c>
      <c r="G113" s="22" t="s">
        <v>228</v>
      </c>
    </row>
    <row r="114" spans="3:7" x14ac:dyDescent="0.25">
      <c r="C114" s="20">
        <v>111</v>
      </c>
      <c r="D114" s="21" t="str">
        <f t="shared" si="1"/>
        <v>Scavo / sistemazione del paesaggio</v>
      </c>
      <c r="E114" s="22" t="s">
        <v>145</v>
      </c>
      <c r="F114" s="22" t="s">
        <v>368</v>
      </c>
      <c r="G114" s="22" t="s">
        <v>369</v>
      </c>
    </row>
    <row r="115" spans="3:7" x14ac:dyDescent="0.25">
      <c r="C115" s="20">
        <v>112</v>
      </c>
      <c r="D115" s="21" t="str">
        <f t="shared" si="1"/>
        <v>Facciata</v>
      </c>
      <c r="E115" s="22" t="s">
        <v>124</v>
      </c>
      <c r="F115" s="22" t="s">
        <v>370</v>
      </c>
      <c r="G115" s="22" t="s">
        <v>229</v>
      </c>
    </row>
    <row r="116" spans="3:7" x14ac:dyDescent="0.25">
      <c r="C116" s="20">
        <v>113</v>
      </c>
      <c r="D116" s="21" t="str">
        <f t="shared" si="1"/>
        <v>Soletta</v>
      </c>
      <c r="E116" s="22" t="s">
        <v>125</v>
      </c>
      <c r="F116" s="22" t="s">
        <v>371</v>
      </c>
      <c r="G116" s="22" t="s">
        <v>266</v>
      </c>
    </row>
    <row r="117" spans="3:7" x14ac:dyDescent="0.25">
      <c r="C117" s="20">
        <v>114</v>
      </c>
      <c r="D117" s="21" t="str">
        <f t="shared" si="1"/>
        <v>Pareti interne</v>
      </c>
      <c r="E117" s="22" t="s">
        <v>126</v>
      </c>
      <c r="F117" s="22" t="s">
        <v>372</v>
      </c>
      <c r="G117" s="22" t="s">
        <v>230</v>
      </c>
    </row>
    <row r="118" spans="3:7" x14ac:dyDescent="0.25">
      <c r="C118" s="20">
        <v>115</v>
      </c>
      <c r="D118" s="21" t="str">
        <f t="shared" si="1"/>
        <v xml:space="preserve">Tetto </v>
      </c>
      <c r="E118" s="22" t="s">
        <v>127</v>
      </c>
      <c r="F118" s="22" t="s">
        <v>373</v>
      </c>
      <c r="G118" s="22" t="s">
        <v>231</v>
      </c>
    </row>
    <row r="119" spans="3:7" x14ac:dyDescent="0.25">
      <c r="C119" s="20">
        <v>116</v>
      </c>
      <c r="D119" s="21" t="str">
        <f t="shared" si="1"/>
        <v>Platea / fondazioni / pareti esterne contro terreno</v>
      </c>
      <c r="E119" s="22" t="s">
        <v>128</v>
      </c>
      <c r="F119" s="22" t="s">
        <v>374</v>
      </c>
      <c r="G119" s="22" t="s">
        <v>232</v>
      </c>
    </row>
    <row r="120" spans="3:7" x14ac:dyDescent="0.25">
      <c r="C120" s="20">
        <v>117</v>
      </c>
      <c r="D120" s="21" t="str">
        <f t="shared" si="1"/>
        <v>Finestre e porte</v>
      </c>
      <c r="E120" s="22" t="s">
        <v>129</v>
      </c>
      <c r="F120" s="22" t="s">
        <v>375</v>
      </c>
      <c r="G120" s="22" t="s">
        <v>233</v>
      </c>
    </row>
    <row r="121" spans="3:7" x14ac:dyDescent="0.25">
      <c r="C121" s="20">
        <v>118</v>
      </c>
      <c r="D121" s="21" t="str">
        <f t="shared" si="1"/>
        <v>Nuova costruzione</v>
      </c>
      <c r="E121" s="22" t="s">
        <v>119</v>
      </c>
      <c r="F121" s="22" t="s">
        <v>376</v>
      </c>
      <c r="G121" s="22" t="s">
        <v>234</v>
      </c>
    </row>
    <row r="122" spans="3:7" x14ac:dyDescent="0.25">
      <c r="C122" s="20">
        <v>119</v>
      </c>
      <c r="D122" s="21" t="str">
        <f t="shared" si="1"/>
        <v>Risanamento</v>
      </c>
      <c r="E122" s="22" t="s">
        <v>120</v>
      </c>
      <c r="F122" s="22" t="s">
        <v>377</v>
      </c>
      <c r="G122" s="22" t="s">
        <v>378</v>
      </c>
    </row>
    <row r="123" spans="3:7" x14ac:dyDescent="0.25">
      <c r="C123" s="20">
        <v>120</v>
      </c>
      <c r="D123" s="21" t="str">
        <f t="shared" si="1"/>
        <v>Indicazioni sugli edifici che utilizzano risorse locali</v>
      </c>
      <c r="E123" s="22" t="s">
        <v>121</v>
      </c>
      <c r="F123" s="22" t="s">
        <v>379</v>
      </c>
      <c r="G123" s="22" t="s">
        <v>235</v>
      </c>
    </row>
    <row r="124" spans="3:7" x14ac:dyDescent="0.25">
      <c r="C124" s="20">
        <v>121</v>
      </c>
      <c r="D124" s="21" t="str">
        <f t="shared" si="1"/>
        <v>Numero totale di edifici nel quartiere</v>
      </c>
      <c r="E124" s="22" t="s">
        <v>130</v>
      </c>
      <c r="F124" s="22" t="s">
        <v>380</v>
      </c>
      <c r="G124" s="22" t="s">
        <v>267</v>
      </c>
    </row>
    <row r="125" spans="3:7" x14ac:dyDescent="0.25">
      <c r="C125" s="20">
        <v>122</v>
      </c>
      <c r="D125" s="21" t="str">
        <f t="shared" si="1"/>
        <v>Designazione dell'edificio</v>
      </c>
      <c r="E125" s="22" t="s">
        <v>117</v>
      </c>
      <c r="F125" s="22" t="s">
        <v>381</v>
      </c>
      <c r="G125" s="22" t="s">
        <v>236</v>
      </c>
    </row>
    <row r="126" spans="3:7" x14ac:dyDescent="0.25">
      <c r="C126" s="20">
        <v>123</v>
      </c>
      <c r="D126" s="21" t="str">
        <f t="shared" si="1"/>
        <v>Tipo di edificazione</v>
      </c>
      <c r="E126" s="22" t="s">
        <v>116</v>
      </c>
      <c r="F126" s="22" t="s">
        <v>382</v>
      </c>
      <c r="G126" s="22" t="s">
        <v>268</v>
      </c>
    </row>
    <row r="127" spans="3:7" x14ac:dyDescent="0.25">
      <c r="C127" s="20">
        <v>124</v>
      </c>
      <c r="D127" s="21" t="str">
        <f t="shared" si="1"/>
        <v>Numero di gruppi di componenti costruttive locali</v>
      </c>
      <c r="E127" s="22" t="s">
        <v>123</v>
      </c>
      <c r="F127" s="22" t="s">
        <v>383</v>
      </c>
      <c r="G127" s="22" t="s">
        <v>237</v>
      </c>
    </row>
    <row r="128" spans="3:7" x14ac:dyDescent="0.25">
      <c r="C128" s="20">
        <v>125</v>
      </c>
      <c r="D128" s="21" t="str">
        <f>INDEX($E$4:$G$503,$C128,$A$1)</f>
        <v>Numero di edifici con impiego di risorse locali</v>
      </c>
      <c r="E128" s="22" t="s">
        <v>122</v>
      </c>
      <c r="F128" s="22" t="s">
        <v>384</v>
      </c>
      <c r="G128" s="22" t="s">
        <v>238</v>
      </c>
    </row>
    <row r="129" spans="3:7" x14ac:dyDescent="0.25">
      <c r="C129" s="20">
        <v>126</v>
      </c>
      <c r="D129" s="21" t="str">
        <f t="shared" si="1"/>
        <v>Strati / componenti principali</v>
      </c>
      <c r="E129" s="22" t="s">
        <v>131</v>
      </c>
      <c r="F129" s="22" t="s">
        <v>385</v>
      </c>
      <c r="G129" s="22" t="s">
        <v>239</v>
      </c>
    </row>
    <row r="130" spans="3:7" ht="23" x14ac:dyDescent="0.25">
      <c r="C130" s="20">
        <v>127</v>
      </c>
      <c r="D130" s="21" t="str">
        <f t="shared" si="1"/>
        <v>Rinterro, riempimento, installazione di terreno aggiunto, pavimentazione</v>
      </c>
      <c r="E130" s="22" t="s">
        <v>132</v>
      </c>
      <c r="F130" s="22" t="s">
        <v>386</v>
      </c>
      <c r="G130" s="22" t="s">
        <v>240</v>
      </c>
    </row>
    <row r="131" spans="3:7" ht="23" x14ac:dyDescent="0.25">
      <c r="C131" s="20">
        <v>128</v>
      </c>
      <c r="D131" s="21" t="str">
        <f t="shared" si="1"/>
        <v>Elemento portante, isolamento, rivestimento esterno, rivestimento interno</v>
      </c>
      <c r="E131" s="22" t="s">
        <v>133</v>
      </c>
      <c r="F131" s="22" t="s">
        <v>387</v>
      </c>
      <c r="G131" s="22" t="s">
        <v>241</v>
      </c>
    </row>
    <row r="132" spans="3:7" ht="23" x14ac:dyDescent="0.25">
      <c r="C132" s="20">
        <v>129</v>
      </c>
      <c r="D132" s="21" t="str">
        <f>INDEX($E$4:$G$503,$C132,$A$1)</f>
        <v>Elemento portante, rivestimento del pavimento compreso il sottofondo, rivestimento del soffitto</v>
      </c>
      <c r="E132" s="22" t="s">
        <v>134</v>
      </c>
      <c r="F132" s="22" t="s">
        <v>388</v>
      </c>
      <c r="G132" s="22" t="s">
        <v>242</v>
      </c>
    </row>
    <row r="133" spans="3:7" x14ac:dyDescent="0.25">
      <c r="C133" s="20">
        <v>130</v>
      </c>
      <c r="D133" s="21" t="str">
        <f t="shared" ref="D133:D178" si="2">INDEX($E$4:$G$503,$C133,$A$1)</f>
        <v>Elemento portante, rivestimento delle pareti</v>
      </c>
      <c r="E133" s="22" t="s">
        <v>135</v>
      </c>
      <c r="F133" s="22" t="s">
        <v>389</v>
      </c>
      <c r="G133" s="22" t="s">
        <v>243</v>
      </c>
    </row>
    <row r="134" spans="3:7" ht="23" x14ac:dyDescent="0.25">
      <c r="C134" s="20">
        <v>131</v>
      </c>
      <c r="D134" s="21" t="str">
        <f t="shared" si="2"/>
        <v>Elemento portante, isolamento, copertura / strato di protezione e impermeabilizzazione, rivestimento interno</v>
      </c>
      <c r="E134" s="22" t="s">
        <v>136</v>
      </c>
      <c r="F134" s="22" t="s">
        <v>390</v>
      </c>
      <c r="G134" s="22" t="s">
        <v>244</v>
      </c>
    </row>
    <row r="135" spans="3:7" x14ac:dyDescent="0.25">
      <c r="C135" s="20">
        <v>132</v>
      </c>
      <c r="D135" s="21" t="str">
        <f t="shared" si="2"/>
        <v>Elemento portante, isolamento</v>
      </c>
      <c r="E135" s="22" t="s">
        <v>137</v>
      </c>
      <c r="F135" s="22" t="s">
        <v>391</v>
      </c>
      <c r="G135" s="22" t="s">
        <v>245</v>
      </c>
    </row>
    <row r="136" spans="3:7" x14ac:dyDescent="0.25">
      <c r="C136" s="20">
        <v>133</v>
      </c>
      <c r="D136" s="21" t="str">
        <f t="shared" si="2"/>
        <v>Telaio, battente</v>
      </c>
      <c r="E136" s="22" t="s">
        <v>138</v>
      </c>
      <c r="F136" s="22" t="s">
        <v>392</v>
      </c>
      <c r="G136" s="22" t="s">
        <v>246</v>
      </c>
    </row>
    <row r="137" spans="3:7" x14ac:dyDescent="0.25">
      <c r="C137" s="20">
        <v>134</v>
      </c>
      <c r="D137" s="21" t="str">
        <f t="shared" si="2"/>
        <v>Gruppi di componenti costruttivi</v>
      </c>
      <c r="E137" s="22" t="s">
        <v>139</v>
      </c>
      <c r="F137" s="22" t="s">
        <v>393</v>
      </c>
      <c r="G137" s="22" t="s">
        <v>269</v>
      </c>
    </row>
    <row r="138" spans="3:7" ht="23" x14ac:dyDescent="0.25">
      <c r="C138" s="20">
        <v>135</v>
      </c>
      <c r="D138" s="21" t="str">
        <f t="shared" si="2"/>
        <v>Per favore crociare se almeno uno degli strati / delle componenti principali è locale</v>
      </c>
      <c r="E138" s="22" t="s">
        <v>140</v>
      </c>
      <c r="F138" s="22" t="s">
        <v>394</v>
      </c>
      <c r="G138" s="22" t="s">
        <v>270</v>
      </c>
    </row>
    <row r="139" spans="3:7" x14ac:dyDescent="0.25">
      <c r="C139" s="20">
        <v>136</v>
      </c>
      <c r="D139" s="21" t="str">
        <f t="shared" si="2"/>
        <v>Centro</v>
      </c>
      <c r="E139" s="22" t="s">
        <v>94</v>
      </c>
      <c r="F139" s="22" t="s">
        <v>399</v>
      </c>
      <c r="G139" s="9" t="s">
        <v>402</v>
      </c>
    </row>
    <row r="140" spans="3:7" x14ac:dyDescent="0.25">
      <c r="C140" s="20">
        <v>137</v>
      </c>
      <c r="D140" s="21" t="str">
        <f t="shared" si="2"/>
        <v>Agglomerati</v>
      </c>
      <c r="E140" s="22" t="s">
        <v>95</v>
      </c>
      <c r="F140" s="22" t="s">
        <v>400</v>
      </c>
      <c r="G140" s="9" t="s">
        <v>403</v>
      </c>
    </row>
    <row r="141" spans="3:7" x14ac:dyDescent="0.25">
      <c r="C141" s="20">
        <v>138</v>
      </c>
      <c r="D141" s="21" t="str">
        <f t="shared" si="2"/>
        <v>Campagna</v>
      </c>
      <c r="E141" s="22" t="s">
        <v>96</v>
      </c>
      <c r="F141" s="22" t="s">
        <v>401</v>
      </c>
      <c r="G141" s="9" t="s">
        <v>404</v>
      </c>
    </row>
    <row r="142" spans="3:7" x14ac:dyDescent="0.25">
      <c r="C142" s="20">
        <v>139</v>
      </c>
      <c r="D142" s="21" t="str">
        <f t="shared" si="2"/>
        <v>Frequenza dei trasporti pubblici</v>
      </c>
      <c r="E142" s="22" t="s">
        <v>405</v>
      </c>
      <c r="F142" s="22" t="s">
        <v>406</v>
      </c>
      <c r="G142" s="202" t="s">
        <v>407</v>
      </c>
    </row>
    <row r="143" spans="3:7" ht="23" x14ac:dyDescent="0.25">
      <c r="C143" s="20">
        <v>140</v>
      </c>
      <c r="D143" s="21" t="str">
        <f t="shared" si="2"/>
        <v>Quota della mobilità dolce sul totale del traffico passeggeri generato</v>
      </c>
      <c r="E143" s="22" t="s">
        <v>408</v>
      </c>
      <c r="F143" s="22" t="s">
        <v>410</v>
      </c>
      <c r="G143" s="202" t="s">
        <v>409</v>
      </c>
    </row>
    <row r="144" spans="3:7" ht="12" x14ac:dyDescent="0.3">
      <c r="C144" s="20">
        <v>141</v>
      </c>
      <c r="D144" s="21" t="str">
        <f t="shared" si="2"/>
        <v>≥ 4 volte all'ora</v>
      </c>
      <c r="E144" s="22" t="s">
        <v>417</v>
      </c>
      <c r="F144" s="22" t="s">
        <v>418</v>
      </c>
      <c r="G144" s="202" t="s">
        <v>425</v>
      </c>
    </row>
    <row r="145" spans="3:7" ht="12" x14ac:dyDescent="0.3">
      <c r="C145" s="20">
        <v>142</v>
      </c>
      <c r="D145" s="21" t="str">
        <f t="shared" si="2"/>
        <v>1 - 4 volte all'ora</v>
      </c>
      <c r="E145" s="22" t="s">
        <v>419</v>
      </c>
      <c r="F145" s="22" t="s">
        <v>422</v>
      </c>
      <c r="G145" s="202" t="s">
        <v>423</v>
      </c>
    </row>
    <row r="146" spans="3:7" ht="12" x14ac:dyDescent="0.3">
      <c r="C146" s="20">
        <v>143</v>
      </c>
      <c r="D146" s="21" t="str">
        <f t="shared" si="2"/>
        <v>Non servito dai mezzi pubblici</v>
      </c>
      <c r="E146" s="203" t="s">
        <v>420</v>
      </c>
      <c r="F146" s="203" t="s">
        <v>421</v>
      </c>
      <c r="G146" s="202" t="s">
        <v>424</v>
      </c>
    </row>
    <row r="147" spans="3:7" x14ac:dyDescent="0.25">
      <c r="C147" s="20">
        <v>144</v>
      </c>
      <c r="D147" s="21" t="str">
        <f t="shared" si="2"/>
        <v>Tipo di localizzazione</v>
      </c>
      <c r="E147" s="22" t="s">
        <v>428</v>
      </c>
      <c r="F147" s="22" t="s">
        <v>429</v>
      </c>
      <c r="G147" s="202" t="s">
        <v>430</v>
      </c>
    </row>
    <row r="148" spans="3:7" x14ac:dyDescent="0.25">
      <c r="C148" s="20">
        <v>145</v>
      </c>
      <c r="D148" s="21" t="str">
        <f t="shared" si="2"/>
        <v>Minimo</v>
      </c>
      <c r="E148" s="22" t="s">
        <v>431</v>
      </c>
      <c r="F148" s="22" t="s">
        <v>431</v>
      </c>
      <c r="G148" s="202" t="s">
        <v>432</v>
      </c>
    </row>
    <row r="149" spans="3:7" x14ac:dyDescent="0.25">
      <c r="C149" s="20">
        <v>146</v>
      </c>
      <c r="D149" s="21">
        <f t="shared" si="2"/>
        <v>0</v>
      </c>
    </row>
    <row r="150" spans="3:7" x14ac:dyDescent="0.25">
      <c r="C150" s="20">
        <v>147</v>
      </c>
      <c r="D150" s="21">
        <f t="shared" si="2"/>
        <v>0</v>
      </c>
    </row>
    <row r="151" spans="3:7" x14ac:dyDescent="0.25">
      <c r="C151" s="20">
        <v>148</v>
      </c>
      <c r="D151" s="21">
        <f t="shared" si="2"/>
        <v>0</v>
      </c>
    </row>
    <row r="152" spans="3:7" x14ac:dyDescent="0.25">
      <c r="C152" s="20">
        <v>149</v>
      </c>
      <c r="D152" s="21">
        <f t="shared" si="2"/>
        <v>0</v>
      </c>
    </row>
    <row r="153" spans="3:7" x14ac:dyDescent="0.25">
      <c r="C153" s="20">
        <v>150</v>
      </c>
      <c r="D153" s="21">
        <f t="shared" si="2"/>
        <v>0</v>
      </c>
    </row>
    <row r="154" spans="3:7" x14ac:dyDescent="0.25">
      <c r="C154" s="20">
        <v>151</v>
      </c>
      <c r="D154" s="21">
        <f t="shared" si="2"/>
        <v>0</v>
      </c>
    </row>
    <row r="155" spans="3:7" x14ac:dyDescent="0.25">
      <c r="C155" s="20">
        <v>152</v>
      </c>
      <c r="D155" s="21">
        <f t="shared" si="2"/>
        <v>0</v>
      </c>
    </row>
    <row r="156" spans="3:7" x14ac:dyDescent="0.25">
      <c r="C156" s="20">
        <v>153</v>
      </c>
      <c r="D156" s="21">
        <f t="shared" si="2"/>
        <v>0</v>
      </c>
    </row>
    <row r="157" spans="3:7" x14ac:dyDescent="0.25">
      <c r="C157" s="20">
        <v>154</v>
      </c>
      <c r="D157" s="21">
        <f t="shared" si="2"/>
        <v>0</v>
      </c>
    </row>
    <row r="158" spans="3:7" x14ac:dyDescent="0.25">
      <c r="C158" s="20">
        <v>155</v>
      </c>
      <c r="D158" s="21">
        <f t="shared" si="2"/>
        <v>0</v>
      </c>
    </row>
    <row r="159" spans="3:7" x14ac:dyDescent="0.25">
      <c r="C159" s="20">
        <v>156</v>
      </c>
      <c r="D159" s="21">
        <f t="shared" si="2"/>
        <v>0</v>
      </c>
    </row>
    <row r="160" spans="3:7"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sheetProtection algorithmName="SHA-512" hashValue="/aSSMWl6tw9CmG697pU0TkF1vDO24C9Udz/Wa8U/JZYy0v53yyFK/Hma0XWKMVKaMd0UeCyJdMFDFpaD5PiHrg==" saltValue="AMXFwYXzS/iuB77b/A01HA==" spinCount="100000" sheet="1" objects="1" scenarios="1"/>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SKCW24DMUQ4M-227545371-632424</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https://mst239701.sharepoint.com/sites/Files/_layouts/15/DocIdRedir.aspx?ID=SKCW24DMUQ4M-227545371-632424</Url>
      <Description>SKCW24DMUQ4M-227545371-632424</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Props1.xml><?xml version="1.0" encoding="utf-8"?>
<ds:datastoreItem xmlns:ds="http://schemas.openxmlformats.org/officeDocument/2006/customXml" ds:itemID="{44E8E805-2232-4FA5-A947-4B79AC75A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3.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4.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22</vt:i4>
      </vt:variant>
    </vt:vector>
  </HeadingPairs>
  <TitlesOfParts>
    <vt:vector size="34"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LST_E23</vt:lpstr>
      <vt:lpstr>LST_E24</vt:lpstr>
      <vt:lpstr>LST_E25</vt:lpstr>
      <vt:lpstr>LST_Joker</vt:lpstr>
      <vt:lpstr>LST_Lage</vt:lpstr>
      <vt:lpstr>LST_Langsamverkehr</vt:lpstr>
      <vt:lpstr>LST_OV</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2023-06-23T14:35:52Z</cp:lastPrinted>
  <dcterms:created xsi:type="dcterms:W3CDTF">2023-05-30T12:14:13Z</dcterms:created>
  <dcterms:modified xsi:type="dcterms:W3CDTF">2025-09-07T18:55:43Z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d2b9e748-bd64-4106-ac58-f9eaba163e07</vt:lpwstr>
  </property>
  <property fmtid="{D5CDD505-2E9C-101B-9397-08002B2CF9AE}" pid="4" name="MediaServiceImageTags">
    <vt:lpwstr/>
  </property>
</Properties>
</file>